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shared\CREDIT\LIHTC\2023 Program\Application\Application Materials\MFA\"/>
    </mc:Choice>
  </mc:AlternateContent>
  <xr:revisionPtr revIDLastSave="0" documentId="8_{93719159-F3B1-470E-80C0-76DFB2B033C9}" xr6:coauthVersionLast="47" xr6:coauthVersionMax="47" xr10:uidLastSave="{00000000-0000-0000-0000-000000000000}"/>
  <workbookProtection workbookAlgorithmName="SHA-512" workbookHashValue="6z9IZJ0K/zn2QOTXvLtJGxzDmgtUsaXgMftjBJZnf4Nxi9su0brwWAa8T4RhdIFsMYqdPzNq7XBVq76sdAYA4w==" workbookSaltValue="JR3CJmNTAZ1GSULYkcqztA==" workbookSpinCount="100000" lockStructure="1"/>
  <bookViews>
    <workbookView xWindow="-15345" yWindow="-16320" windowWidth="29040" windowHeight="15840" xr2:uid="{B8A83296-3E2A-49BD-97D0-4F08631CAE70}"/>
  </bookViews>
  <sheets>
    <sheet name="23. Construction Draw Schedule" sheetId="1" r:id="rId1"/>
  </sheets>
  <externalReferences>
    <externalReference r:id="rId2"/>
    <externalReference r:id="rId3"/>
    <externalReference r:id="rId4"/>
    <externalReference r:id="rId5"/>
  </externalReferences>
  <definedNames>
    <definedName name="Accessory_Building_4">'[1]16. Project Costs'!$K$32</definedName>
    <definedName name="Accessory_Building_9">'[1]16. Project Costs'!$J$32</definedName>
    <definedName name="Accessory_Building_State">'[1]16. Project Costs'!$L$32</definedName>
    <definedName name="Accessory_Building_Total">'[1]16. Project Costs'!$F$32</definedName>
    <definedName name="Accountant">'[1]11. Project Team'!$D$117</definedName>
    <definedName name="Accountant_City">'[1]11. Project Team'!$D$121</definedName>
    <definedName name="Accountant_Contact_First_Name">'[1]11. Project Team'!$D$125</definedName>
    <definedName name="Accountant_Contact_Last_Name">'[1]11. Project Team'!$F$125</definedName>
    <definedName name="Accountant_Email_Address">'[1]11. Project Team'!$G$123</definedName>
    <definedName name="Accountant_Identity_of_Interest?">'[1]11. Project Team'!$F$115</definedName>
    <definedName name="Accountant_State">'[1]11. Project Team'!$F$121</definedName>
    <definedName name="Accountant_Street_Address">'[1]11. Project Team'!$D$119</definedName>
    <definedName name="Accountant_Telephone_Number">'[1]11. Project Team'!$D$123</definedName>
    <definedName name="Accountant_Zipcode">'[1]11. Project Team'!$H$121</definedName>
    <definedName name="Accting_Fees_4">'[1]16. Project Costs'!$K$163</definedName>
    <definedName name="Accting_Fees_9">'[1]16. Project Costs'!$J$163</definedName>
    <definedName name="Accting_Fees_Total">'[1]16. Project Costs'!$F$163</definedName>
    <definedName name="ACQ_Subtotal_4">'[1]16. Project Costs'!$K$20</definedName>
    <definedName name="ACQ_Subtotal_Total">'[1]16. Project Costs'!$F$20</definedName>
    <definedName name="Acquisition_Rehab_Units">'[1]5. Project Description'!$D$11</definedName>
    <definedName name="Adaptive_Reuse_Units">'[1]5. Project Description'!$D$12</definedName>
    <definedName name="Adjusted_building_basis">'[1]8. Site Control'!$D$31</definedName>
    <definedName name="Administrative_Rent___Free_Unit">'[1]18. Projected Operating Costs'!$D$22</definedName>
    <definedName name="Advertising___Marketing_Expense">'[1]18. Projected Operating Costs'!$D$11</definedName>
    <definedName name="Ag_Workers">'[2]Project Details'!$C$158</definedName>
    <definedName name="Ag_Workers_No_Of_Units">'[2]Project Details'!$D$158</definedName>
    <definedName name="Agreement_Date">'[2]Applicant Agreement'!$F$43</definedName>
    <definedName name="ALTA_4">'[1]16. Project Costs'!$K$119</definedName>
    <definedName name="ALTA_9">'[1]16. Project Costs'!$J$119</definedName>
    <definedName name="ALTA_State">'[1]16. Project Costs'!$L$119</definedName>
    <definedName name="ALTA_Total">'[1]16. Project Costs'!$F$119</definedName>
    <definedName name="Amount_1">'[1]14. Funding Sources'!$G$16</definedName>
    <definedName name="Amount_10">'[1]14. Funding Sources'!$G$25</definedName>
    <definedName name="Amount_2">'[1]14. Funding Sources'!$G$17</definedName>
    <definedName name="Amount_3">'[1]14. Funding Sources'!$G$18</definedName>
    <definedName name="Amount_4">'[1]14. Funding Sources'!$G$19</definedName>
    <definedName name="Amount_5">'[1]14. Funding Sources'!$G$20</definedName>
    <definedName name="Amount_6">'[1]14. Funding Sources'!$G$21</definedName>
    <definedName name="Amount_7">'[1]14. Funding Sources'!$G$22</definedName>
    <definedName name="Amount_8">'[1]14. Funding Sources'!$G$23</definedName>
    <definedName name="Amount_9">'[1]14. Funding Sources'!$G$24</definedName>
    <definedName name="And_Number_of_Units">'[1]5. Project Description'!$D$17</definedName>
    <definedName name="Annual_DSC_1">'[1]14. Funding Sources'!$M$16</definedName>
    <definedName name="Annual_DSC_10">'[1]14. Funding Sources'!$M$25</definedName>
    <definedName name="Annual_DSC_2">'[1]14. Funding Sources'!$M$17</definedName>
    <definedName name="Annual_DSC_3">'[1]14. Funding Sources'!$M$18</definedName>
    <definedName name="Annual_DSC_4">'[1]14. Funding Sources'!$M$19</definedName>
    <definedName name="Annual_DSC_5">'[1]14. Funding Sources'!$M$20</definedName>
    <definedName name="Annual_DSC_6">'[1]14. Funding Sources'!$M$21</definedName>
    <definedName name="Annual_DSC_7">'[1]14. Funding Sources'!$M$22</definedName>
    <definedName name="Annual_DSC_8">'[1]14. Funding Sources'!$M$23</definedName>
    <definedName name="Annual_DSC_9">'[1]14. Funding Sources'!$M$24</definedName>
    <definedName name="Annual_Replacement_Reserve">'[1]18. Projected Operating Costs'!$D$87</definedName>
    <definedName name="Any_existing_LURA?">'[1]5. Project Description'!$D$32</definedName>
    <definedName name="Applicant_Information">'[1]6. Applicant Information'!$B$6</definedName>
    <definedName name="Application_Threshold">'[1]Threshold Checklist'!$D$1</definedName>
    <definedName name="ApplicationType">'[1]Dropdown Lists'!$G$2:$G$4</definedName>
    <definedName name="Appraisals_4">'[1]16. Project Costs'!$K$140</definedName>
    <definedName name="Appraisals_9">'[1]16. Project Costs'!$J$140</definedName>
    <definedName name="Appraisals_State">'[1]16. Project Costs'!$L$140</definedName>
    <definedName name="Appraisals_Total">'[1]16. Project Costs'!$F$140</definedName>
    <definedName name="Apt_Type_61">'[1]13. Unit Mix'!$C$113</definedName>
    <definedName name="Apt_Type_62">'[1]13. Unit Mix'!$C$114</definedName>
    <definedName name="Apt_Type_63">'[1]13. Unit Mix'!$C$115</definedName>
    <definedName name="Arch_Design_4">'[1]16. Project Costs'!$K$116</definedName>
    <definedName name="Arch_Design_9">'[1]16. Project Costs'!$J$116</definedName>
    <definedName name="Arch_Design_State">'[1]16. Project Costs'!$L$116</definedName>
    <definedName name="Arch_Design_Total">'[1]16. Project Costs'!$F$116</definedName>
    <definedName name="Arch_Super_4">'[1]16. Project Costs'!$K$117</definedName>
    <definedName name="Arch_Super_9">'[1]16. Project Costs'!$J$117</definedName>
    <definedName name="Arch_Super_State">'[1]16. Project Costs'!$L$117</definedName>
    <definedName name="Arch_Super_Total">'[1]16. Project Costs'!$F$117</definedName>
    <definedName name="Architect">'[1]11. Project Team'!$D$87</definedName>
    <definedName name="Architect_Address">'[2]Development Team'!$D$221</definedName>
    <definedName name="Architect_City">'[1]11. Project Team'!$D$91</definedName>
    <definedName name="Architect_Contact_First_Name">'[1]11. Project Team'!$D$95</definedName>
    <definedName name="Architect_Contact_Last_Name">'[1]11. Project Team'!$F$95</definedName>
    <definedName name="Architect_Email">'[2]Development Team'!$G$225</definedName>
    <definedName name="Architect_Email_Address">'[1]11. Project Team'!$G$93</definedName>
    <definedName name="Architect_Identity_of_Interest?">'[1]11. Project Team'!$F$85</definedName>
    <definedName name="Architect_Name">'[2]Development Team'!$D$220</definedName>
    <definedName name="Architect_Phone">'[2]Development Team'!$G$224</definedName>
    <definedName name="Architect_State">'[1]11. Project Team'!$F$91</definedName>
    <definedName name="Architect_Street_Address">'[1]11. Project Team'!$D$89</definedName>
    <definedName name="Architect_TaxID">'[2]Development Team'!$D$227</definedName>
    <definedName name="Architect_Telephone_Number">'[1]11. Project Team'!$D$93</definedName>
    <definedName name="Architect_Zip">'[2]Development Team'!$D$225</definedName>
    <definedName name="Architect_Zipcode">'[1]11. Project Team'!$H$91</definedName>
    <definedName name="Area_of_Economic_Opportunity">'[1]37. Areas of Economic Opp'!$B$6</definedName>
    <definedName name="Areas_Economic_Opp_Points">'[1]24. Instructions Scoring Sum'!$G$44</definedName>
    <definedName name="Attorney">'[1]11. Project Team'!$D$102</definedName>
    <definedName name="Attorney_City">'[1]11. Project Team'!$D$106</definedName>
    <definedName name="Attorney_Email_Address">'[1]11. Project Team'!$G$108</definedName>
    <definedName name="Attorney_Identity_of_Interest?">'[1]11. Project Team'!$D$100</definedName>
    <definedName name="Attorney_State">'[1]11. Project Team'!$F$106</definedName>
    <definedName name="Attorney_Street_Address">'[1]11. Project Team'!$D$104</definedName>
    <definedName name="Attorney_Telephone_Number">'[1]11. Project Team'!$D$108</definedName>
    <definedName name="Attorney_Zipcode">'[1]11. Project Team'!$H$106</definedName>
    <definedName name="Auditing_Expenses___Project_Only">'[1]18. Projected Operating Costs'!$D$24</definedName>
    <definedName name="Bad_Debt_Expense">'[1]18. Projected Operating Costs'!$D$27</definedName>
    <definedName name="Bond_Issuance_Fee_Total">'[1]16. Project Costs'!$F$78</definedName>
    <definedName name="Bonding_Fee_Subtotal_Total">'[1]16. Project Costs'!$F$79</definedName>
    <definedName name="Bookkeeping_Fees_Accounting_Services">'[1]18. Projected Operating Costs'!$D$25</definedName>
    <definedName name="Boundry_4">'[1]16. Project Costs'!$K$148</definedName>
    <definedName name="Boundry_Total">'[1]16. Project Costs'!$F$148</definedName>
    <definedName name="Builders_Overhead_4">'[1]16. Project Costs'!$K$56</definedName>
    <definedName name="Builders_Overhead_9">'[1]16. Project Costs'!$J$56</definedName>
    <definedName name="Builders_Overhead_State">'[1]16. Project Costs'!$L$56</definedName>
    <definedName name="Builders_Overhead_Total">'[1]16. Project Costs'!$F$56</definedName>
    <definedName name="Builders_Profit_4">'[1]16. Project Costs'!$K$57</definedName>
    <definedName name="Builders_Profit_9">'[1]16. Project Costs'!$J$57</definedName>
    <definedName name="Builders_Profit_State">'[1]16. Project Costs'!$L$57</definedName>
    <definedName name="Builders_Profit_Total">'[1]16. Project Costs'!$F$57</definedName>
    <definedName name="Builders_Risk_Ins_4">'[1]16. Project Costs'!$K$59</definedName>
    <definedName name="Builders_Risk_Ins_Total">'[1]16. Project Costs'!$F$59</definedName>
    <definedName name="Building_4">'[1]16. Project Costs'!$K$23</definedName>
    <definedName name="Building_9">'[1]16. Project Costs'!$J$23</definedName>
    <definedName name="Building_Acq_4">'[1]16. Project Costs'!$K$17</definedName>
    <definedName name="Building_Acq_State">'[1]16. Project Costs'!$L$17</definedName>
    <definedName name="Building_Acq_Total">'[1]16. Project Costs'!$F$17</definedName>
    <definedName name="Building_Address_1">'[1]8. Site Control'!$C$44</definedName>
    <definedName name="Building_Address_10">'[1]8. Site Control'!$C$53</definedName>
    <definedName name="Building_Address_11">'[1]8. Site Control'!$C$54</definedName>
    <definedName name="Building_Address_12">'[1]8. Site Control'!$C$55</definedName>
    <definedName name="Building_Address_13">'[1]8. Site Control'!$C$56</definedName>
    <definedName name="Building_Address_14">'[1]8. Site Control'!$C$57</definedName>
    <definedName name="Building_Address_15">'[1]8. Site Control'!$C$58</definedName>
    <definedName name="Building_Address_16">'[1]8. Site Control'!$C$59</definedName>
    <definedName name="Building_Address_17">'[1]8. Site Control'!$C$60</definedName>
    <definedName name="Building_Address_18">'[1]8. Site Control'!$C$61</definedName>
    <definedName name="Building_Address_19">'[1]8. Site Control'!$C$62</definedName>
    <definedName name="Building_Address_2">'[1]8. Site Control'!$C$45</definedName>
    <definedName name="Building_Address_20">'[1]8. Site Control'!$C$63</definedName>
    <definedName name="Building_Address_21">'[1]8. Site Control'!$C$64</definedName>
    <definedName name="Building_Address_22">'[1]8. Site Control'!$C$65</definedName>
    <definedName name="Building_Address_23">'[1]8. Site Control'!$C$66</definedName>
    <definedName name="Building_Address_24">'[1]8. Site Control'!$C$67</definedName>
    <definedName name="Building_Address_25">'[1]8. Site Control'!$C$68</definedName>
    <definedName name="Building_Address_26">'[1]8. Site Control'!$C$69</definedName>
    <definedName name="Building_Address_27">'[1]8. Site Control'!$C$70</definedName>
    <definedName name="Building_Address_28">'[1]8. Site Control'!$C$71</definedName>
    <definedName name="Building_Address_29">'[1]8. Site Control'!$C$72</definedName>
    <definedName name="Building_Address_3">'[1]8. Site Control'!$C$46</definedName>
    <definedName name="Building_Address_30">'[1]8. Site Control'!$C$73</definedName>
    <definedName name="Building_Address_31">'[1]8. Site Control'!$C$74</definedName>
    <definedName name="Building_Address_32">'[1]8. Site Control'!$C$75</definedName>
    <definedName name="Building_Address_33">'[1]8. Site Control'!$C$76</definedName>
    <definedName name="Building_Address_34">'[1]8. Site Control'!$C$77</definedName>
    <definedName name="Building_Address_4">'[1]8. Site Control'!$C$47</definedName>
    <definedName name="Building_Address_5">'[1]8. Site Control'!$C$48</definedName>
    <definedName name="Building_Address_6">'[1]8. Site Control'!$C$49</definedName>
    <definedName name="Building_Address_7">'[1]8. Site Control'!$C$50</definedName>
    <definedName name="Building_Address_8">'[1]8. Site Control'!$C$51</definedName>
    <definedName name="Building_Address_9">'[1]8. Site Control'!$C$52</definedName>
    <definedName name="Building_City_1">'[1]8. Site Control'!$D$44</definedName>
    <definedName name="Building_City_10">'[1]8. Site Control'!$D$53</definedName>
    <definedName name="Building_City_11">'[1]8. Site Control'!$D$54</definedName>
    <definedName name="Building_City_12">'[1]8. Site Control'!$D$55</definedName>
    <definedName name="Building_City_13">'[1]8. Site Control'!$D$56</definedName>
    <definedName name="Building_City_14">'[1]8. Site Control'!$D$57</definedName>
    <definedName name="Building_City_15">'[1]8. Site Control'!$D$58</definedName>
    <definedName name="Building_City_16">'[1]8. Site Control'!$D$59</definedName>
    <definedName name="Building_City_17">'[1]8. Site Control'!$D$60</definedName>
    <definedName name="Building_City_18">'[1]8. Site Control'!$D$61</definedName>
    <definedName name="Building_City_19">'[1]8. Site Control'!$D$62</definedName>
    <definedName name="Building_City_2">'[1]8. Site Control'!$D$45</definedName>
    <definedName name="Building_City_20">'[1]8. Site Control'!$D$63</definedName>
    <definedName name="Building_City_21">'[1]8. Site Control'!$D$64</definedName>
    <definedName name="Building_City_22">'[1]8. Site Control'!$D$65</definedName>
    <definedName name="Building_City_23">'[1]8. Site Control'!$D$66</definedName>
    <definedName name="Building_City_24">'[1]8. Site Control'!$D$67</definedName>
    <definedName name="Building_City_25">'[1]8. Site Control'!$D$68</definedName>
    <definedName name="Building_City_26">'[1]8. Site Control'!$D$69</definedName>
    <definedName name="Building_City_27">'[1]8. Site Control'!$D$70</definedName>
    <definedName name="Building_City_28">'[1]8. Site Control'!$D$71</definedName>
    <definedName name="Building_City_29">'[1]8. Site Control'!$D$72</definedName>
    <definedName name="Building_City_3">'[1]8. Site Control'!$D$46</definedName>
    <definedName name="Building_City_30">'[1]8. Site Control'!$D$73</definedName>
    <definedName name="Building_City_31">'[1]8. Site Control'!$D$74</definedName>
    <definedName name="Building_City_32">'[1]8. Site Control'!$D$75</definedName>
    <definedName name="Building_City_33">'[1]8. Site Control'!$D$76</definedName>
    <definedName name="Building_City_34">'[1]8. Site Control'!$D$77</definedName>
    <definedName name="Building_City_4">'[1]8. Site Control'!$D$47</definedName>
    <definedName name="Building_City_5">'[1]8. Site Control'!$D$48</definedName>
    <definedName name="Building_City_6">'[1]8. Site Control'!$D$49</definedName>
    <definedName name="Building_City_7">'[1]8. Site Control'!$D$50</definedName>
    <definedName name="Building_City_8">'[1]8. Site Control'!$D$51</definedName>
    <definedName name="Building_City_9">'[1]8. Site Control'!$D$52</definedName>
    <definedName name="Building_State">'[1]16. Project Costs'!$L$23</definedName>
    <definedName name="Building_Total">'[1]16. Project Costs'!$F$23</definedName>
    <definedName name="Building_Zip_Code_1">'[1]8. Site Control'!$E$44</definedName>
    <definedName name="Building_Zip_Code_10">'[1]8. Site Control'!$E$53</definedName>
    <definedName name="Building_Zip_Code_11">'[1]8. Site Control'!$E$54</definedName>
    <definedName name="Building_Zip_Code_12">'[1]8. Site Control'!$E$55</definedName>
    <definedName name="Building_Zip_Code_13">'[1]8. Site Control'!$E$56</definedName>
    <definedName name="Building_Zip_Code_14">'[1]8. Site Control'!$E$57</definedName>
    <definedName name="Building_Zip_Code_15">'[1]8. Site Control'!$E$58</definedName>
    <definedName name="Building_Zip_Code_16">'[1]8. Site Control'!$E$59</definedName>
    <definedName name="Building_Zip_Code_17">'[1]8. Site Control'!$E$60</definedName>
    <definedName name="Building_Zip_Code_18">'[1]8. Site Control'!$E$61</definedName>
    <definedName name="Building_Zip_Code_19">'[1]8. Site Control'!$E$62</definedName>
    <definedName name="Building_Zip_Code_2">'[1]8. Site Control'!$E$45</definedName>
    <definedName name="Building_Zip_Code_20">'[1]8. Site Control'!$E$63</definedName>
    <definedName name="Building_Zip_Code_21">'[1]8. Site Control'!$E$64</definedName>
    <definedName name="Building_Zip_Code_22">'[1]8. Site Control'!$E$65</definedName>
    <definedName name="Building_Zip_Code_23">'[1]8. Site Control'!$E$66</definedName>
    <definedName name="Building_Zip_Code_24">'[1]8. Site Control'!$E$67</definedName>
    <definedName name="Building_Zip_Code_25">'[1]8. Site Control'!$E$68</definedName>
    <definedName name="Building_Zip_Code_26">'[1]8. Site Control'!$E$69</definedName>
    <definedName name="Building_Zip_Code_27">'[1]8. Site Control'!$E$70</definedName>
    <definedName name="Building_Zip_Code_28">'[1]8. Site Control'!$E$71</definedName>
    <definedName name="Building_Zip_Code_29">'[1]8. Site Control'!$E$72</definedName>
    <definedName name="Building_Zip_Code_3">'[1]8. Site Control'!$E$46</definedName>
    <definedName name="Building_Zip_Code_30">'[1]8. Site Control'!$E$73</definedName>
    <definedName name="Building_Zip_Code_31">'[1]8. Site Control'!$E$74</definedName>
    <definedName name="Building_Zip_Code_32">'[1]8. Site Control'!$E$75</definedName>
    <definedName name="Building_Zip_Code_33">'[1]8. Site Control'!$E$76</definedName>
    <definedName name="Building_Zip_Code_34">'[1]8. Site Control'!$E$77</definedName>
    <definedName name="Building_Zip_Code_4">'[1]8. Site Control'!$E$47</definedName>
    <definedName name="Building_Zip_Code_5">'[1]8. Site Control'!$E$48</definedName>
    <definedName name="Building_Zip_Code_6">'[1]8. Site Control'!$E$49</definedName>
    <definedName name="Building_Zip_Code_7">'[1]8. Site Control'!$E$50</definedName>
    <definedName name="Building_Zip_Code_8">'[1]8. Site Control'!$E$51</definedName>
    <definedName name="Building_Zip_Code_9">'[1]8. Site Control'!$E$52</definedName>
    <definedName name="Buildings_Occupied">'[1]7. Site Description'!$E$24</definedName>
    <definedName name="Capital_Needs_Res_Total">'[1]16. Project Costs'!$F$133</definedName>
    <definedName name="Capitalized_Reserv_Subtotal_Total">'[1]16. Project Costs'!$F$137</definedName>
    <definedName name="Catalyst_for_Revitalization">'[1]37. Catalyst for Revitalization'!$B$6</definedName>
    <definedName name="CBRF">'[1]5. Project Description'!$D$44</definedName>
    <definedName name="CBRF_Number_of_Units">'[1]5. Project Description'!$F$44</definedName>
    <definedName name="CMI_Percentage_Unit_Mix" comment="CMI% used on Unit Mix page to define the income designations for the unit(s).">'[1]Dropdown Lists'!$I$2:$I$8</definedName>
    <definedName name="CoDeveloper_Address">'[2]Development Team'!$J$10</definedName>
    <definedName name="CoDeveloper_City">'[2]Development Team'!$J$11</definedName>
    <definedName name="CoDeveloper_County">'[2]Development Team'!$J$12</definedName>
    <definedName name="CoDeveloper_Email">'[2]Development Team'!$M$17</definedName>
    <definedName name="CoDeveloper_Name">'[2]Development Team'!$J$9</definedName>
    <definedName name="CoDeveloper_Phone">'[2]Development Team'!$M$15</definedName>
    <definedName name="CoDeveloper_State">'[2]Development Team'!$J$13</definedName>
    <definedName name="CoDeveloper_TaxID">'[2]Development Team'!$J$15</definedName>
    <definedName name="CoDeveloper_Zip">'[2]Development Team'!$J$14</definedName>
    <definedName name="Community_Building">'[1]12. Project &amp; Unit Amenities'!$D$18</definedName>
    <definedName name="Community_Room">'[1]12. Project &amp; Unit Amenities'!$D$19</definedName>
    <definedName name="Community_Room___Sq._Ft.">'[1]12. Project &amp; Unit Amenities'!$G$19</definedName>
    <definedName name="Community_Service_Facilities">'[1]40.Community Service Facilities'!$B$6</definedName>
    <definedName name="Community_Service_Facilities_Points">'[1]24. Instructions Scoring Sum'!$G$47</definedName>
    <definedName name="Constr_Hazard_insur_4">'[1]16. Project Costs'!$K$95</definedName>
    <definedName name="Constr_Hazard_insur_9">'[1]16. Project Costs'!$J$95</definedName>
    <definedName name="Constr_Hazard_insur_State">'[1]16. Project Costs'!$L$95</definedName>
    <definedName name="Constr_Hazard_insur_Total">'[1]16. Project Costs'!$F$95</definedName>
    <definedName name="Constr_Lender_Fees_4">'[1]16. Project Costs'!$K$86</definedName>
    <definedName name="Constr_Lender_Fees_Total">'[1]16. Project Costs'!$F$86</definedName>
    <definedName name="Constr_Liability_4">'[1]16. Project Costs'!$K$96</definedName>
    <definedName name="Constr_Liability_Total">'[1]16. Project Costs'!$F$96</definedName>
    <definedName name="Constr_Mgmt_Fee_4">'[1]16. Project Costs'!$K$58</definedName>
    <definedName name="Constr_Mgmt_Fee_9">'[1]16. Project Costs'!$J$58</definedName>
    <definedName name="Constr_Mgmt_Fee_State">'[1]16. Project Costs'!$L$58</definedName>
    <definedName name="Constr_Mgmt_Fee_Total">'[1]16. Project Costs'!$F$58</definedName>
    <definedName name="Constr_Period_Int_4">'[1]16. Project Costs'!$K$84</definedName>
    <definedName name="Constr_Period_Int_9">'[1]16. Project Costs'!$J$84</definedName>
    <definedName name="Constr_Period_Int_State">'[1]16. Project Costs'!$L$84</definedName>
    <definedName name="Constr_Period_Int_Total">'[1]16. Project Costs'!$F$84</definedName>
    <definedName name="Construction_Amount_1">'[1]14. Funding Sources'!$E$51</definedName>
    <definedName name="Construction_Amount_10">'[1]14. Funding Sources'!$E$60</definedName>
    <definedName name="Construction_Amount_11">'[1]14. Funding Sources'!$E$61</definedName>
    <definedName name="Construction_Amount_12">'[1]14. Funding Sources'!$E$62</definedName>
    <definedName name="Construction_Amount_2">'[1]14. Funding Sources'!$E$52</definedName>
    <definedName name="Construction_Amount_3">'[1]14. Funding Sources'!$E$53</definedName>
    <definedName name="Construction_Amount_4">'[1]14. Funding Sources'!$E$54</definedName>
    <definedName name="Construction_Amount_5">'[1]14. Funding Sources'!$E$55</definedName>
    <definedName name="Construction_Amount_6">'[1]14. Funding Sources'!$E$56</definedName>
    <definedName name="Construction_Amount_7">'[1]14. Funding Sources'!$E$57</definedName>
    <definedName name="Construction_Amount_8">'[1]14. Funding Sources'!$E$58</definedName>
    <definedName name="Construction_Amount_9">'[1]14. Funding Sources'!$E$59</definedName>
    <definedName name="Construction_Complete">'[1]5. Project Description'!$D$94</definedName>
    <definedName name="Construction_Draw_Schedule">'23. Construction Draw Schedule'!$B$7</definedName>
    <definedName name="Construction_Loan_Closing">'[1]5. Project Description'!$D$92</definedName>
    <definedName name="Construction_Rate_1">'[1]14. Funding Sources'!$G$51</definedName>
    <definedName name="Construction_Rate_10">'[1]14. Funding Sources'!$G$60</definedName>
    <definedName name="Construction_Rate_11">'[1]14. Funding Sources'!$G$61</definedName>
    <definedName name="Construction_Rate_12">'[1]14. Funding Sources'!$G$62</definedName>
    <definedName name="Construction_Rate_2">'[1]14. Funding Sources'!$G$52</definedName>
    <definedName name="Construction_Rate_3">'[1]14. Funding Sources'!$G$53</definedName>
    <definedName name="Construction_Rate_4">'[1]14. Funding Sources'!$G$54</definedName>
    <definedName name="Construction_Rate_5">'[1]14. Funding Sources'!$G$55</definedName>
    <definedName name="Construction_Rate_6">'[1]14. Funding Sources'!$G$56</definedName>
    <definedName name="Construction_Rate_7">'[1]14. Funding Sources'!$G$57</definedName>
    <definedName name="Construction_Rate_8">'[1]14. Funding Sources'!$G$58</definedName>
    <definedName name="Construction_Rate_9">'[1]14. Funding Sources'!$G$59</definedName>
    <definedName name="Construction_Source_1">'[1]14. Funding Sources'!$C$51</definedName>
    <definedName name="Construction_Source_10">'[1]14. Funding Sources'!$C$60</definedName>
    <definedName name="Construction_Source_11">'[1]14. Funding Sources'!$C$61</definedName>
    <definedName name="Construction_Source_12">'[1]14. Funding Sources'!$C$62</definedName>
    <definedName name="Construction_Source_2">'[1]14. Funding Sources'!$C$52</definedName>
    <definedName name="Construction_Source_3">'[1]14. Funding Sources'!$C$53</definedName>
    <definedName name="Construction_Source_4">'[1]14. Funding Sources'!$C$54</definedName>
    <definedName name="Construction_Source_5">'[1]14. Funding Sources'!$C$55</definedName>
    <definedName name="Construction_Source_6">'[1]14. Funding Sources'!$C$56</definedName>
    <definedName name="Construction_Source_7">'[1]14. Funding Sources'!$C$57</definedName>
    <definedName name="Construction_Source_8">'[1]14. Funding Sources'!$C$58</definedName>
    <definedName name="Construction_Source_9">'[1]14. Funding Sources'!$C$59</definedName>
    <definedName name="Construction_Start_Date">'[1]5. Project Description'!$D$93</definedName>
    <definedName name="Construction_Term_1">'[1]14. Funding Sources'!$H$51</definedName>
    <definedName name="Construction_Term_10">'[1]14. Funding Sources'!$H$60</definedName>
    <definedName name="Construction_Term_11">'[1]14. Funding Sources'!$H$61</definedName>
    <definedName name="Construction_Term_12">'[1]14. Funding Sources'!$H$62</definedName>
    <definedName name="Construction_Term_2">'[1]14. Funding Sources'!$H$52</definedName>
    <definedName name="Construction_Term_3">'[1]14. Funding Sources'!$H$53</definedName>
    <definedName name="Construction_Term_4">'[1]14. Funding Sources'!$H$54</definedName>
    <definedName name="Construction_Term_5">'[1]14. Funding Sources'!$H$55</definedName>
    <definedName name="Construction_Term_6">'[1]14. Funding Sources'!$H$56</definedName>
    <definedName name="Construction_Term_7">'[1]14. Funding Sources'!$H$57</definedName>
    <definedName name="Construction_Term_8">'[1]14. Funding Sources'!$H$58</definedName>
    <definedName name="Construction_Term_9">'[1]14. Funding Sources'!$H$59</definedName>
    <definedName name="Consult_Agent_4">'[1]16. Project Costs'!$K$174</definedName>
    <definedName name="Consult_Agent_9">'[1]16. Project Costs'!$J$174</definedName>
    <definedName name="Consult_Agent_State">'[1]16. Project Costs'!$L$174</definedName>
    <definedName name="Consult_Agent_Total">'[1]16. Project Costs'!$F$174</definedName>
    <definedName name="Consultant_Address">'[2]Development Team'!$D$40</definedName>
    <definedName name="Consultant_City">'[1]11. Project Team'!$D$31</definedName>
    <definedName name="Consultant_Contact_First_Name">'[1]11. Project Team'!$D$35</definedName>
    <definedName name="Consultant_Contact_Last_Name">'[1]11. Project Team'!$F$35</definedName>
    <definedName name="Consultant_County">'[2]Development Team'!$D$42</definedName>
    <definedName name="Consultant_Email_Address">'[1]11. Project Team'!$G$33</definedName>
    <definedName name="Consultant_Identity_of_Interest?">'[1]11. Project Team'!$F$25</definedName>
    <definedName name="Consultant_Name">'[1]11. Project Team'!$D$27</definedName>
    <definedName name="Consultant_Phone">'[2]Development Team'!$D$31</definedName>
    <definedName name="Consultant_State">'[1]11. Project Team'!$F$31</definedName>
    <definedName name="Consultant_Street_Address">'[1]11. Project Team'!$D$29</definedName>
    <definedName name="Consultant_TaxID">'[2]Development Team'!$D$45</definedName>
    <definedName name="Consultant_Telephone_Number">'[1]11. Project Team'!$D$33</definedName>
    <definedName name="Consultant_Zip">'[2]Development Team'!$D$44</definedName>
    <definedName name="Consultant_Zipcode">'[1]11. Project Team'!$H$31</definedName>
    <definedName name="Contingency_Subtotal_Total">'[1]16. Project Costs'!$F$66</definedName>
    <definedName name="Contractor_City">'[1]11. Project Team'!$D$46</definedName>
    <definedName name="Contractor_Contact_First_Name">'[1]11. Project Team'!$D$50</definedName>
    <definedName name="Contractor_Contact_Last_Name">'[1]11. Project Team'!$F$50</definedName>
    <definedName name="Contractor_Email_Address">'[1]11. Project Team'!$G$48</definedName>
    <definedName name="Contractor_Identity_of_Interest?">'[1]11. Project Team'!$D$40</definedName>
    <definedName name="Contractor_Name">'[1]11. Project Team'!$D$42</definedName>
    <definedName name="Contractor_Related_Fees_Subtotal_Total">'[1]16. Project Costs'!$F$101</definedName>
    <definedName name="Contractor_State">'[1]11. Project Team'!$F$46</definedName>
    <definedName name="Contractor_Street_Address">'[1]11. Project Team'!$D$44</definedName>
    <definedName name="Contractor_Telephone_Number">'[1]11. Project Team'!$D$48</definedName>
    <definedName name="Contractor_Zipcode">'[1]11. Project Team'!$H$46</definedName>
    <definedName name="Contracts">'[1]18. Projected Operating Costs'!$D$41</definedName>
    <definedName name="Convention_and_Meetings">'[1]18. Projected Operating Costs'!$D$9</definedName>
    <definedName name="Costs_AccountingFees">'[2]Budget Uses'!$E$98</definedName>
    <definedName name="Costs_ApplicationDevelopmentConsultantFees">'[2]Budget Uses'!$E$99</definedName>
    <definedName name="Costs_Appraisal">'[2]Budget Uses'!$E$49</definedName>
    <definedName name="Costs_CapitalNeedsAssessment">'[2]Budget Uses'!$E$47</definedName>
    <definedName name="Costs_Construction_Interest">'[2]Budget Uses'!$E$65</definedName>
    <definedName name="Costs_DeveloperFeeDSB">'[2]Budget Uses'!$E$59</definedName>
    <definedName name="Costs_DevelopmentContingency">'[2]Budget Uses'!$E$60</definedName>
    <definedName name="Costs_EngineeringFees">'[2]Budget Uses'!$E$48</definedName>
    <definedName name="Costs_ImpactFeesTapFeesTaxesSDC">'[2]Budget Uses'!$E$46</definedName>
    <definedName name="Costs_Insurance">'[2]Budget Uses'!$E$93</definedName>
    <definedName name="Costs_Land">'[2]Budget Uses'!$E$12</definedName>
    <definedName name="Costs_Land_Use_Approvals">'[2]Budget Uses'!$E$45</definedName>
    <definedName name="Costs_LegalFees">'[2]Budget Uses'!$E$97</definedName>
    <definedName name="Costs_MarketStudy">'[2]Budget Uses'!$E$50</definedName>
    <definedName name="Costs_OrganizationFees">'[2]Budget Uses'!$E$101</definedName>
    <definedName name="Costs_SurveyCosts">'[2]Budget Uses'!$E$43</definedName>
    <definedName name="Credit_Calc">'[1]17. Credit Calc'!$C$6</definedName>
    <definedName name="Credit_Enhance_Fee_4">'[1]16. Project Costs'!$K$91</definedName>
    <definedName name="Credit_Enhance_Fee_9">'[1]16. Project Costs'!$J$91</definedName>
    <definedName name="Credit_Enhance_Fee_State">'[1]16. Project Costs'!$L$91</definedName>
    <definedName name="Credit_Enhance_Fee_Total">'[1]16. Project Costs'!$F$91</definedName>
    <definedName name="Credit_Enhance_Perm_Loan_Total">'[1]16. Project Costs'!$F$109</definedName>
    <definedName name="Credit_percentage_applied_for">'[1]5. Project Description'!$D$57</definedName>
    <definedName name="DA_City">'[1]11. Project Team'!$D$76</definedName>
    <definedName name="DA_Email_Address">'[1]11. Project Team'!$G$78</definedName>
    <definedName name="DA_First_Name">'[1]11. Project Team'!$D$80</definedName>
    <definedName name="DA_Identity_of_Interest?">'[1]11. Project Team'!$F$70</definedName>
    <definedName name="DA_Last_Name">'[1]11. Project Team'!$F$80</definedName>
    <definedName name="DA_State">'[1]11. Project Team'!$F$76</definedName>
    <definedName name="DA_Street_Address">'[1]11. Project Team'!$D$74</definedName>
    <definedName name="DA_Telephone_Number">'[1]11. Project Team'!$D$78</definedName>
    <definedName name="DA_Zipcode">'[1]11. Project Team'!$H$76</definedName>
    <definedName name="Date_first_building_is_to_be_placed_in_service">'[1]5. Project Description'!$D$95</definedName>
    <definedName name="Date_last_building_is_to_be_placed_in_service">'[1]5. Project Description'!$D$96</definedName>
    <definedName name="DateOfApplication">[1]ProLink!$F$3</definedName>
    <definedName name="Deal_Name">[2]Prolink!$F$15</definedName>
    <definedName name="Deal_Stage">[1]ProLink!$F$5</definedName>
    <definedName name="Deal_Status">[1]ProLink!$F$6</definedName>
    <definedName name="Debt_Serv_Reserve_Total">'[1]16. Project Costs'!$F$132</definedName>
    <definedName name="Demolition_4">'[1]16. Project Costs'!$K$45</definedName>
    <definedName name="Demolition_9">'[1]16. Project Costs'!$J$45</definedName>
    <definedName name="Demolition_State">'[1]16. Project Costs'!$L$45</definedName>
    <definedName name="Demolition_Total">'[1]16. Project Costs'!$F$45</definedName>
    <definedName name="Demotition_Required">'[1]7. Site Description'!$E$19</definedName>
    <definedName name="Describe_Differences_in_Low_income___Market_rate_Unit_Amenities">'[1]12. Project &amp; Unit Amenities'!$D$49</definedName>
    <definedName name="Design_Architect">'[1]11. Project Team'!$D$72</definedName>
    <definedName name="Detached_Single_Family">'[1]5. Project Description'!$D$69</definedName>
    <definedName name="Detached_Two_Family__Duplex">'[1]5. Project Description'!$D$70</definedName>
    <definedName name="DEV_Contact_First_Name">'[1]6. Applicant Information'!$D$21</definedName>
    <definedName name="DEV_Contact_First_Name_2">'[1]6. Applicant Information'!$D$36</definedName>
    <definedName name="DEV_Contact_First_Name_3">'[1]6. Applicant Information'!$D$51</definedName>
    <definedName name="DEV_Contact_First_Name_4">'[1]6. Applicant Information'!$D$66</definedName>
    <definedName name="DEV_Contact_Last_Name">'[1]6. Applicant Information'!$F$21</definedName>
    <definedName name="DEV_Contact_Last_Name_2">'[1]6. Applicant Information'!$F$36</definedName>
    <definedName name="DEV_Contact_Last_Name_3">'[1]6. Applicant Information'!$F$51</definedName>
    <definedName name="DEV_Contact_Last_Name_4">'[1]6. Applicant Information'!$F$66</definedName>
    <definedName name="DEV_Email_Address">'[1]6. Applicant Information'!$D$23</definedName>
    <definedName name="Dev_Fee_Deferred_4">'[1]16. Project Costs'!$K$172</definedName>
    <definedName name="Dev_Fee_Deferred_9">'[1]16. Project Costs'!$J$172</definedName>
    <definedName name="Dev_Fee_Deferred_State">'[1]16. Project Costs'!$L$172</definedName>
    <definedName name="Dev_Fee_Deferred_Total">'[1]16. Project Costs'!$F$172</definedName>
    <definedName name="Dev_Fee_Received_4">'[1]16. Project Costs'!$K$171</definedName>
    <definedName name="Dev_Fee_Received_9">'[1]16. Project Costs'!$J$171</definedName>
    <definedName name="Dev_Fee_Received_State">'[1]16. Project Costs'!$L$171</definedName>
    <definedName name="Dev_Fee_Received_Total">'[1]16. Project Costs'!$F$171</definedName>
    <definedName name="Dev_Overhead_4">'[1]16. Project Costs'!$K$173</definedName>
    <definedName name="Dev_Overhead_9">'[1]16. Project Costs'!$J$173</definedName>
    <definedName name="Dev_Overhead_State">'[1]16. Project Costs'!$L$173</definedName>
    <definedName name="Dev_Overhead_Total">'[1]16. Project Costs'!$F$173</definedName>
    <definedName name="DEV_Street_Address">'[1]6. Applicant Information'!$D$17</definedName>
    <definedName name="DEV_Telephone_Number">'[1]6. Applicant Information'!$D$22</definedName>
    <definedName name="DEV2_City">'[1]6. Applicant Information'!$D$33</definedName>
    <definedName name="DEV2_Email_Address">'[1]6. Applicant Information'!$D$38</definedName>
    <definedName name="DEV2_State">'[1]6. Applicant Information'!$F$33</definedName>
    <definedName name="DEV2_Street_Address">'[1]6. Applicant Information'!$D$32</definedName>
    <definedName name="DEV2_Telephone_Number">'[1]6. Applicant Information'!$D$37</definedName>
    <definedName name="DEV2_Zip_Code">'[1]6. Applicant Information'!$H$33</definedName>
    <definedName name="DEV3_City">'[1]6. Applicant Information'!$D$48</definedName>
    <definedName name="DEV3_Email_Address">'[1]6. Applicant Information'!$D$53</definedName>
    <definedName name="DEV3_State">'[1]6. Applicant Information'!$F$48</definedName>
    <definedName name="DEV3_Street_Address">'[1]6. Applicant Information'!$D$47</definedName>
    <definedName name="DEV3_Telephone_Number">'[1]6. Applicant Information'!$D$52</definedName>
    <definedName name="DEV3_Zip_Code">'[1]6. Applicant Information'!$H$48</definedName>
    <definedName name="DEV4_City">'[1]6. Applicant Information'!$D$63</definedName>
    <definedName name="DEV4_Email_Address">'[1]6. Applicant Information'!$D$68</definedName>
    <definedName name="DEV4_State">'[1]6. Applicant Information'!$F$63</definedName>
    <definedName name="DEV4_Street_Address">'[1]6. Applicant Information'!$D$62</definedName>
    <definedName name="DEV4_Telephone_Number">'[1]6. Applicant Information'!$D$67</definedName>
    <definedName name="DEV4_Zip_Code">'[1]6. Applicant Information'!$H$63</definedName>
    <definedName name="DevDisabilityNoOfUnits">'[2]Project Details'!$D$155</definedName>
    <definedName name="Developer_Address">'[2]Development Team'!$D$10</definedName>
    <definedName name="Developer_City">'[1]6. Applicant Information'!$D$18</definedName>
    <definedName name="Developer_Costs_Subtotal_Total">'[1]16. Project Costs'!$F$176</definedName>
    <definedName name="Developer_County">'[2]Development Team'!$D$12</definedName>
    <definedName name="Developer_Email">'[2]Development Team'!$G$17</definedName>
    <definedName name="Developer_Name">'[1]6. Applicant Information'!$D$15</definedName>
    <definedName name="Developer_Name_2">'[1]6. Applicant Information'!$D$30</definedName>
    <definedName name="Developer_Name_3">'[1]6. Applicant Information'!$D$45</definedName>
    <definedName name="Developer_Name_4">'[1]6. Applicant Information'!$D$60</definedName>
    <definedName name="Developer_Phone">'[2]Development Team'!$G$15</definedName>
    <definedName name="Developer_State">'[1]6. Applicant Information'!$F$18</definedName>
    <definedName name="Developer_TaxID">'[2]Development Team'!$D$15</definedName>
    <definedName name="Developer_Zip">'[2]Development Team'!$D$14</definedName>
    <definedName name="Developer_Zip_Code">'[1]6. Applicant Information'!$H$18</definedName>
    <definedName name="Development_Address">'[1]1. Cover Sheet'!$C$10</definedName>
    <definedName name="Development_City">'[1]1. Cover Sheet'!$C$11</definedName>
    <definedName name="Development_County">'[1]1. Cover Sheet'!$C$12</definedName>
    <definedName name="Development_Team">'[1]36. Development Team'!$B$6</definedName>
    <definedName name="Development_Team_Points">'[1]24. Instructions Scoring Sum'!$G$43</definedName>
    <definedName name="DevelopmentalDisability">'[2]Project Details'!$C$155</definedName>
    <definedName name="DomViolenceNoOfUnits">'[2]Project Details'!$D$162</definedName>
    <definedName name="Earthwork_4">'[1]16. Project Costs'!$K$46</definedName>
    <definedName name="Earthwork_9">'[1]16. Project Costs'!$J$46</definedName>
    <definedName name="Earthwork_Other_4">'[1]16. Project Costs'!$K$37</definedName>
    <definedName name="Earthwork_Other_Total">'[1]16. Project Costs'!$F$37</definedName>
    <definedName name="Earthwork_State">'[1]16. Project Costs'!$L$46</definedName>
    <definedName name="Earthwork_Total">'[1]16. Project Costs'!$F$46</definedName>
    <definedName name="Elderly">'[1]5. Project Description'!$D$40</definedName>
    <definedName name="Elderly_Number_of_Units">'[1]5. Project Description'!$F$40</definedName>
    <definedName name="Electricity">'[1]18. Projected Operating Costs'!$D$32</definedName>
    <definedName name="Elevator_Building">'[1]5. Project Description'!$D$66</definedName>
    <definedName name="Energy_Efficiency_and_Sustainablilty">'[1]26. Energy Eff &amp; Sustainabilty'!$B$6</definedName>
    <definedName name="Energy_Points">'[1]24. Instructions Scoring Sum'!$G$33</definedName>
    <definedName name="Engineer_Fee_4">'[1]16. Project Costs'!$K$118</definedName>
    <definedName name="Engineer_Fee_9">'[1]16. Project Costs'!$J$118</definedName>
    <definedName name="Engineer_Fee_State">'[1]16. Project Costs'!$L$118</definedName>
    <definedName name="Engineer_Fee_Total">'[1]16. Project Costs'!$F$118</definedName>
    <definedName name="Entity_Principal_Name_1">'[1]10. Ownership Entity'!$C$21</definedName>
    <definedName name="Entity_Principal_Name_2">'[1]10. Ownership Entity'!$C$32</definedName>
    <definedName name="Entity_Principal_Name_3">'[1]10. Ownership Entity'!$C$43</definedName>
    <definedName name="EntityPrincipalFunction">'[1]Dropdown Lists'!$O$2:$O$4</definedName>
    <definedName name="EntityStatus">'[1]Dropdown Lists'!$N$2:$N$3</definedName>
    <definedName name="EntityType">'[1]Dropdown Lists'!$M$2:$M$7</definedName>
    <definedName name="Environmental_Issues">'[1]6. Applicant Information'!$E$79</definedName>
    <definedName name="Environmental_Review_4">'[1]16. Project Costs'!$K$146</definedName>
    <definedName name="Environmental_Review_Total">'[1]16. Project Costs'!$F$146</definedName>
    <definedName name="Environmental_Study_4">'[1]16. Project Costs'!$K$143</definedName>
    <definedName name="Environmental_Study_9">'[1]16. Project Costs'!$J$143</definedName>
    <definedName name="Environmental_Study_State">'[1]16. Project Costs'!$L$143</definedName>
    <definedName name="Environmental_Study_Total">'[1]16. Project Costs'!$F$143</definedName>
    <definedName name="Escrow_Total">'[1]16. Project Costs'!$F$135</definedName>
    <definedName name="Eventual_Tenant_Own_Points">'[1]24. Instructions Scoring Sum'!$G$42</definedName>
    <definedName name="Eventual_Tenant_Ownership">'[1]35. Eventual Tenant Own'!$B$6</definedName>
    <definedName name="Exercise_Room">'[1]12. Project &amp; Unit Amenities'!$J$31</definedName>
    <definedName name="Explanation">'[1]6. Applicant Information'!$E$84</definedName>
    <definedName name="Family">'[1]5. Project Description'!$D$39</definedName>
    <definedName name="Family___Workforce">'[2]Project Details'!$C$152</definedName>
    <definedName name="Family_Number_of_Units">'[1]5. Project Description'!$F$39</definedName>
    <definedName name="FamilyOfUnitsSetAside">'[2]Project Details'!$D$152</definedName>
    <definedName name="Federal_Credits">'[1]17. Credit Calc'!$H$61</definedName>
    <definedName name="Federal_Tax_ID_Number_of_Ownership_Entity">'[1]10. Ownership Entity'!$C$13</definedName>
    <definedName name="FederalFinancingType">'[1]Dropdown Lists'!$K$2:$K$8</definedName>
    <definedName name="Fidelity_Bond_Issuance">'[1]18. Projected Operating Costs'!$D$56</definedName>
    <definedName name="Financial_Feasibility">'[1]20. Financial Feasibility'!$B$6</definedName>
    <definedName name="Financial_Leverage">'[1]34. Financial Leverage'!$B$6</definedName>
    <definedName name="Financial_Leverage_Points">'[1]24. Instructions Scoring Sum'!$G$41</definedName>
    <definedName name="FinancingType">'[1]Dropdown Lists'!$X$2:$X$12</definedName>
    <definedName name="Fixtures_Furn_4">'[1]16. Project Costs'!$K$50</definedName>
    <definedName name="Fixtures_Furn_9">'[1]16. Project Costs'!$J$50</definedName>
    <definedName name="Fixtures_Furn_State">'[1]16. Project Costs'!$L$50</definedName>
    <definedName name="Fixtures_Furn_Total">'[1]16. Project Costs'!$F$50</definedName>
    <definedName name="Flood_Zone">'[1]7. Site Description'!$E$39</definedName>
    <definedName name="FormerlyOrCurrentlyHomeless">'[2]Project Details'!$C$164</definedName>
    <definedName name="FosterYouth">'[2]Project Details'!$C$159</definedName>
    <definedName name="FosterYouthNoOfUnits">'[2]Project Details'!$D$159</definedName>
    <definedName name="Fuel_Oil">'[1]18. Projected Operating Costs'!$D$31</definedName>
    <definedName name="Funding_Sources">'[1]14. Funding Sources'!$B$6</definedName>
    <definedName name="g">IF(Values_Entered,Header_Row+Number_of_Payments,Header_Row)</definedName>
    <definedName name="Garage_Rent_Per_Year">'[1]12. Project &amp; Unit Amenities'!$L$21</definedName>
    <definedName name="Garages">'[1]12. Project &amp; Unit Amenities'!$D$23</definedName>
    <definedName name="Garbage_and_Trash_Removal">'[1]18. Projected Operating Costs'!$D$43</definedName>
    <definedName name="Gas">'[1]18. Projected Operating Costs'!$D$34</definedName>
    <definedName name="GC_Telephone_Number">'[1]11. Project Team'!$D$48</definedName>
    <definedName name="General_Requirements_4">'[1]16. Project Costs'!$K$55</definedName>
    <definedName name="General_Requirements_9">'[1]16. Project Costs'!$J$55</definedName>
    <definedName name="General_Requirements_State">'[1]16. Project Costs'!$L$55</definedName>
    <definedName name="General_Requirements_Total">'[1]16. Project Costs'!$F$55</definedName>
    <definedName name="General_Requirments_Total">'[1]16. Project Costs'!$F$55</definedName>
    <definedName name="GeneralContractor_Address">'[2]Development Team'!$D$56</definedName>
    <definedName name="GeneralContractor_City">'[2]Development Team'!$D$57</definedName>
    <definedName name="GeneralContractor_County">'[2]Development Team'!$D$58</definedName>
    <definedName name="GeneralContractor_Email">'[2]Development Team'!$G$61</definedName>
    <definedName name="GeneralContractor_Name">'[2]Development Team'!$D$55</definedName>
    <definedName name="GeneralContractor_Phone">'[2]Development Team'!$G$59</definedName>
    <definedName name="GeneralContractor_State">'[2]Development Team'!$D$59</definedName>
    <definedName name="GeneralContractor_TaxID">'[2]Development Team'!$D$62</definedName>
    <definedName name="GeneralContractor_Zip">'[2]Development Team'!$D$60</definedName>
    <definedName name="Grant_1">'[1]14. Funding Sources'!$C$30</definedName>
    <definedName name="Grant_2">'[1]14. Funding Sources'!$C$31</definedName>
    <definedName name="Grant_3">'[1]14. Funding Sources'!$C$32</definedName>
    <definedName name="Grant_4">'[1]14. Funding Sources'!$C$33</definedName>
    <definedName name="Grant_5">'[1]14. Funding Sources'!$C$34</definedName>
    <definedName name="Grant_6">'[1]14. Funding Sources'!$C$35</definedName>
    <definedName name="Grant_7">'[1]14. Funding Sources'!$C$36</definedName>
    <definedName name="Grant_Amount_1">'[1]14. Funding Sources'!$E$30</definedName>
    <definedName name="Grant_Amount_2">'[1]14. Funding Sources'!$E$31</definedName>
    <definedName name="Grant_Amount_3">'[1]14. Funding Sources'!$E$32</definedName>
    <definedName name="Grant_Amount_4">'[1]14. Funding Sources'!$E$33</definedName>
    <definedName name="Grant_Amount_5">'[1]14. Funding Sources'!$E$34</definedName>
    <definedName name="Grant_Amount_6">'[1]14. Funding Sources'!$E$35</definedName>
    <definedName name="Grant_Amount_7">'[1]14. Funding Sources'!$E$36</definedName>
    <definedName name="Green_Building_4">'[1]16. Project Costs'!$K$94</definedName>
    <definedName name="Green_Building_Total">'[1]16. Project Costs'!$F$94</definedName>
    <definedName name="Health_and_the_Built_Environment">'[1]38. Health &amp; Built Environment'!$B$6</definedName>
    <definedName name="Health_Insurance_and_Other_Employee_Benefits">'[1]18. Projected Operating Costs'!$D$58</definedName>
    <definedName name="Heating___Cooling_Repairs_Maintenance">'[1]18. Projected Operating Costs'!$D$46</definedName>
    <definedName name="HIVNoOfUnits">'[2]Project Details'!$D$162</definedName>
    <definedName name="Homeless">'[1]5. Project Description'!$D$41</definedName>
    <definedName name="Homeless_Number_of_Units">'[1]5. Project Description'!$F$41</definedName>
    <definedName name="HomelessChildren">'[2]Project Details'!$E$165</definedName>
    <definedName name="HomelessNoOfUnits">'[2]Project Details'!$D$164</definedName>
    <definedName name="HomelessVeterans">'[2]Project Details'!$E$166</definedName>
    <definedName name="HomeNew_DevTeamCapacity_PointsClaimed">'[2]Scoring_HOME NewConst&amp;AcqRehab'!$F$132</definedName>
    <definedName name="HomeNew_FedPreference_PointsClaimed">'[2]Scoring_HOME NewConst&amp;AcqRehab'!$F$84</definedName>
    <definedName name="HomeNew_FundingEfficiency_PointsClaimed">'[2]Scoring_HOME NewConst&amp;AcqRehab'!$F$145</definedName>
    <definedName name="HomeNew_NeedAndOpportunity_PointsClaimed">'[2]Scoring_HOME NewConst&amp;AcqRehab'!$F$40</definedName>
    <definedName name="HomeNew_Partnerships_PointsClaimed">'[2]Scoring_HOME NewConst&amp;AcqRehab'!$F$14</definedName>
    <definedName name="HomeNew_ReadinessToProceed_PointsClaimed">'[2]Scoring_HOME NewConst&amp;AcqRehab'!$F$157</definedName>
    <definedName name="HomePres_DevTeamCapacity_PointsClaimed">'[2]Scoring_HOME Preservation'!$F$53</definedName>
    <definedName name="HomePres_FedPreferences_PointsClaimed">'[2]Scoring_HOME Preservation'!$F$23</definedName>
    <definedName name="HomePres_FundingEfficiency_PointsClaimed">'[2]Scoring_HOME Preservation'!$F$14</definedName>
    <definedName name="HomePres_NeedAndOpportunity_PointsClaimed">'[2]Scoring_HOME Preservation'!$F$75</definedName>
    <definedName name="HomePres_Partnerships_PointsClaimed">'[2]Scoring_HOME Preservation'!$F$101</definedName>
    <definedName name="HomePres_ReadinessToProceed_PointsClaimed">'[2]Scoring_HOME Preservation'!$F$35</definedName>
    <definedName name="HTC_Fees_Total">'[1]16. Project Costs'!$F$155</definedName>
    <definedName name="HUD_RAD">'[1]5. Project Description'!$D$19</definedName>
    <definedName name="HUD_RAD_Number_of_Units">'[1]5. Project Description'!$F$19</definedName>
    <definedName name="HUD202NoOfUnits">'[2]Proposal Summary'!$J$43</definedName>
    <definedName name="HUD236NoOfUnits">'[2]Proposal Summary'!$J$45</definedName>
    <definedName name="HUD811NoOfUnits">'[2]Proposal Summary'!$J$41</definedName>
    <definedName name="HUDRADNoOfUnits">'[2]Proposal Summary'!$J$44</definedName>
    <definedName name="HUDSection8NoOfUnits">'[2]Proposal Summary'!$J$42</definedName>
    <definedName name="hyuytvyvy">DATE(YEAR(Loan_Start),MONTH(Loan_Start)+Payment_Number,DAY(Loan_Start))</definedName>
    <definedName name="Identity_Interest_Direct_Indirect">'[1]8. Site Control'!$D$20</definedName>
    <definedName name="If_yes__how_many?">'[3]Project Details'!$F$22</definedName>
    <definedName name="If_yes__list_name_of_project_and_WHEDA_application_number">'[1]5. Project Description'!$D$51</definedName>
    <definedName name="If_yes__provide_the_subsidy_source">'[1]5. Project Description'!$D$16</definedName>
    <definedName name="Innovative_Housing_Narrative">'[1]39. Innovative Housing Narrativ'!$B$6</definedName>
    <definedName name="Instructions_Scoring_Summary">'[1]24. Instructions Scoring Sum'!$B$7</definedName>
    <definedName name="Is_HUD_approval_for_transfer_of_physical_asset_required?">'[1]5. Project Description'!$D$29</definedName>
    <definedName name="Is_project_a_Scattered_Site?">'[1]4. Project Name &amp; Location'!$F$8</definedName>
    <definedName name="Is_project_in_a_Qualified_Census_Tract?">'[1]4. Project Name &amp; Location'!$D$14</definedName>
    <definedName name="Is_RD_approval_for_transfer_of_physical_asset_required?">'[1]5. Project Description'!$D$30</definedName>
    <definedName name="Is_this_a_credit_application_for_a_property_that_has_completed_its_HTC_compliance_period?">'[1]5. Project Description'!$D$52</definedName>
    <definedName name="Is_this_an_application_for_additional_credit?">'[1]5. Project Description'!$D$50</definedName>
    <definedName name="Is_WHEDA_approval_for_transfer_of_physical_asset_required?">'[1]5. Project Description'!$D$31</definedName>
    <definedName name="jojoishkjngfsfd">IF(Loan_Amount*Interest_Rate*Loan_Years*Loan_Start&gt;0,1,0)</definedName>
    <definedName name="Judgements">'[1]6. Applicant Information'!$E$73</definedName>
    <definedName name="Jurisdiction_CEO_First_Name">'[1]4. Project Name &amp; Location'!$D$23</definedName>
    <definedName name="Jurisdiction_CEO_Last_Name">'[1]4. Project Name &amp; Location'!$F$23</definedName>
    <definedName name="Jurisdiction_City">'[1]4. Project Name &amp; Location'!$D$25</definedName>
    <definedName name="Jurisdiction_E_Mail_Address">'[1]4. Project Name &amp; Location'!$F$26</definedName>
    <definedName name="Jurisdiction_Phone">'[1]4. Project Name &amp; Location'!$D$26</definedName>
    <definedName name="Jurisdiction_Street_Address">'[1]4. Project Name &amp; Location'!$D$24</definedName>
    <definedName name="Jurisdiction_Title">'[1]4. Project Name &amp; Location'!$H$23</definedName>
    <definedName name="Jurisdiction_Zip_Code">'[1]4. Project Name &amp; Location'!$F$25</definedName>
    <definedName name="Land_Acq_Total">'[1]16. Project Costs'!$F$16</definedName>
    <definedName name="Last_Row">IF(Values_Entered,Header_Row+Number_of_Payments,Header_Row)</definedName>
    <definedName name="Laundry_Room">'[1]12. Project &amp; Unit Amenities'!$D$27</definedName>
    <definedName name="Lawn_4">'[1]16. Project Costs'!$K$39</definedName>
    <definedName name="Lawn_Planting_4">'[1]16. Project Costs'!$K$49</definedName>
    <definedName name="Lawn_Planting_9">'[1]16. Project Costs'!$J$49</definedName>
    <definedName name="Lawn_Planting_State">'[1]16. Project Costs'!$L$49</definedName>
    <definedName name="Lawn_Planting_Total">'[1]16. Project Costs'!$F$49</definedName>
    <definedName name="Lawn_Total">'[1]16. Project Costs'!$F$39</definedName>
    <definedName name="Legal_Expenses___Project_Only">'[1]18. Projected Operating Costs'!$D$23</definedName>
    <definedName name="Legal_Fees_RE_Total">'[1]16. Project Costs'!$F$112</definedName>
    <definedName name="Lender_Insp_Fees_4">'[1]16. Project Costs'!$K$87</definedName>
    <definedName name="Lender_Insp_Fees_Total">'[1]16. Project Costs'!$F$87</definedName>
    <definedName name="LIFTQuan_Affordability_PointsClaimed">'[2]Scoring_LIFT Quantitative'!$F$65</definedName>
    <definedName name="LIFTQuan_CostContainment_PointsClaimed">'[2]Scoring_LIFT Quantitative'!$F$81</definedName>
    <definedName name="LIFTQuan_FamilySizedUnits_PointsClaimed">'[2]Scoring_LIFT Quantitative'!$F$29</definedName>
    <definedName name="LIFTQuan_ReadinessToProceed_PointsClaimed">'[2]Scoring_LIFT Quantitative'!$F$46</definedName>
    <definedName name="LIFTQuan_SusidyLeveraging_PointsClaimed">'[2]Scoring_LIFT Quantitative'!$F$15</definedName>
    <definedName name="LIHTC_App_Fees_Total">'[1]16. Project Costs'!$F$156</definedName>
    <definedName name="LIHTC_Monitoring_Fees_Total">'[1]16. Project Costs'!$F$158</definedName>
    <definedName name="LIHTC_Reserv_Fees_Total">'[1]16. Project Costs'!$F$157</definedName>
    <definedName name="Litigation">'[1]6. Applicant Information'!$E$76</definedName>
    <definedName name="Local_Bldg_Permit_4">'[1]16. Project Costs'!$K$159</definedName>
    <definedName name="Local_Bldg_Permit_Total">'[1]16. Project Costs'!$F$159</definedName>
    <definedName name="LocalHousingAuthorityRuralNoOfUnits">'[2]Proposal Summary'!$J$39</definedName>
    <definedName name="Low_Income_Total_Units">'[1]13. Unit Mix'!$F$129</definedName>
    <definedName name="Lower_Income_Area_Points">'[1]24. Instructions Scoring Sum'!$G$32</definedName>
    <definedName name="Lower_Income_Areas">'[1]25. Lower-Income Areas'!$B$6</definedName>
    <definedName name="LowIncome3BRUnits">'[1]13. Unit Mix'!$BC$68</definedName>
    <definedName name="LU_Period_Constr_4">'[1]16. Project Costs'!$K$85</definedName>
    <definedName name="LU_Period_Constr_9">'[1]16. Project Costs'!$J$85</definedName>
    <definedName name="LU_Period_Constr_State">'[1]16. Project Costs'!$L$85</definedName>
    <definedName name="LU_Period_Constr_Total">'[1]16. Project Costs'!$F$85</definedName>
    <definedName name="LURA_Project_Number">'[1]5. Project Description'!$D$33</definedName>
    <definedName name="MA_City">'[1]11. Project Team'!$D$16</definedName>
    <definedName name="MA_Email_Address">'[1]11. Project Team'!$G$18</definedName>
    <definedName name="MA_Identity_of_Interest?">'[1]11. Project Team'!$D$10</definedName>
    <definedName name="MA_State">'[1]11. Project Team'!$F$16</definedName>
    <definedName name="MA_Street_Address">'[1]11. Project Team'!$D$14</definedName>
    <definedName name="MA_Telephone_Number">'[1]11. Project Team'!$D$18</definedName>
    <definedName name="MA_Zipcode">'[1]11. Project Team'!$H$16</definedName>
    <definedName name="Management_Agent_Email_Address">'[1]11. Project Team'!$G$18</definedName>
    <definedName name="Management_Consultants">'[1]18. Projected Operating Costs'!$D$10</definedName>
    <definedName name="Management_Fee___Commercial_Rents">'[1]18. Projected Operating Costs'!$D$19</definedName>
    <definedName name="Management_Fee___Misc._Income">'[1]18. Projected Operating Costs'!$D$20</definedName>
    <definedName name="Management_Fee___Residential_Rents">'[1]18. Projected Operating Costs'!$D$18</definedName>
    <definedName name="ManagementCompany_Address">'[2]Development Team'!$D$194</definedName>
    <definedName name="ManagementCompany_City">'[2]Development Team'!$D$195</definedName>
    <definedName name="ManagementCompany_County">'[2]Development Team'!$D$196</definedName>
    <definedName name="ManagementCompany_Email">'[2]Development Team'!$G$198</definedName>
    <definedName name="ManagementCompany_Name">'[2]Development Team'!$D$193</definedName>
    <definedName name="ManagementCompany_Phone">'[2]Development Team'!$G$197</definedName>
    <definedName name="ManagementCompany_State">'[2]Development Team'!$D$197</definedName>
    <definedName name="ManagementCompany_TaxID">'[2]Development Team'!$D$193+'[2]Development Team'!$D$200</definedName>
    <definedName name="ManagementCompany_Zip">'[2]Development Team'!$D$198</definedName>
    <definedName name="Manager_Superintendent_Salaries">'[1]18. Projected Operating Costs'!$D$21</definedName>
    <definedName name="ManagingPartner_Address">'[2]Development Team'!$D$94</definedName>
    <definedName name="ManagingPartner_City">'[2]Development Team'!$D$95</definedName>
    <definedName name="ManagingPartner_County">'[2]Development Team'!$D$96</definedName>
    <definedName name="ManagingPartner_Email">'[2]Development Team'!$G$100</definedName>
    <definedName name="ManagingPartner_Name">'[2]Development Team'!$D$93</definedName>
    <definedName name="ManagingPartner_Phone">'[2]Development Team'!$G$99</definedName>
    <definedName name="ManagingPartner_State">'[2]Development Team'!$D$97</definedName>
    <definedName name="ManagingPartner_TaxID">'[2]Development Team'!$D$102</definedName>
    <definedName name="ManagingPartner_Zip">'[2]Development Team'!$D$98</definedName>
    <definedName name="Market_Study_4">'[1]16. Project Costs'!$K$141</definedName>
    <definedName name="Market_Study_9">'[1]16. Project Costs'!$J$141</definedName>
    <definedName name="Market_Study_State">'[1]16. Project Costs'!$L$141</definedName>
    <definedName name="Market_Study_Total">'[1]16. Project Costs'!$F$141</definedName>
    <definedName name="Max_Cost_Model">'[1]21. Max Cost Model'!$C$6</definedName>
    <definedName name="Media_Center_Room">'[1]12. Project &amp; Unit Amenities'!$G$32</definedName>
    <definedName name="Mgmt_Company_Name">'[1]11. Project Team'!$D$12</definedName>
    <definedName name="Mgmt_Contact_First_Name">'[1]11. Project Team'!$D$20</definedName>
    <definedName name="Mgmt_Contact_Last_Name">'[1]11. Project Team'!$F$20</definedName>
    <definedName name="Minimum_Set_Aside_Requirements">'[1]5. Project Description'!$D$62</definedName>
    <definedName name="Misc._Operating___Maintenance_Expenses">'[1]18. Projected Operating Costs'!$D$49</definedName>
    <definedName name="Misc._Taxes__Licenses__Permits__and_Insuaance">'[1]18. Projected Operating Costs'!$D$59</definedName>
    <definedName name="Miscellaneous_Taxes__Licenses_and_Permits">'[1]18. Projected Operating Costs'!$D$54</definedName>
    <definedName name="Mixed_Income_Incentive">'[1]27. Mixed Income Incentive'!$B$6</definedName>
    <definedName name="Mixed_Income_Points">'[1]24. Instructions Scoring Sum'!$G$34</definedName>
    <definedName name="MKT_Units_1">'[1]8. Site Control'!$F$44</definedName>
    <definedName name="MKT_Units_10">'[1]8. Site Control'!$F$53</definedName>
    <definedName name="MKT_Units_11">'[1]8. Site Control'!$F$54</definedName>
    <definedName name="MKT_Units_12">'[1]8. Site Control'!$F$55</definedName>
    <definedName name="MKT_Units_13">'[1]8. Site Control'!$F$56</definedName>
    <definedName name="MKT_Units_14">'[1]8. Site Control'!$F$57</definedName>
    <definedName name="MKT_Units_15">'[1]8. Site Control'!$F$58</definedName>
    <definedName name="MKT_Units_16">'[1]8. Site Control'!$F$59</definedName>
    <definedName name="MKT_Units_17">'[1]8. Site Control'!$F$60</definedName>
    <definedName name="MKT_Units_18">'[1]8. Site Control'!$F$61</definedName>
    <definedName name="MKT_Units_19">'[1]8. Site Control'!$F$62</definedName>
    <definedName name="MKT_Units_2">'[1]8. Site Control'!$F$45</definedName>
    <definedName name="MKT_Units_20">'[1]8. Site Control'!$F$63</definedName>
    <definedName name="MKT_Units_21">'[1]8. Site Control'!$F$64</definedName>
    <definedName name="MKT_Units_22">'[1]8. Site Control'!$F$65</definedName>
    <definedName name="MKT_Units_23">'[1]8. Site Control'!$F$66</definedName>
    <definedName name="MKT_Units_24">'[1]8. Site Control'!$F$67</definedName>
    <definedName name="MKT_Units_25">'[1]8. Site Control'!$F$68</definedName>
    <definedName name="MKT_Units_26">'[1]8. Site Control'!$F$69</definedName>
    <definedName name="MKT_Units_27">'[1]8. Site Control'!$F$70</definedName>
    <definedName name="MKT_Units_28">'[1]8. Site Control'!$F$71</definedName>
    <definedName name="MKT_Units_29">'[1]8. Site Control'!$F$72</definedName>
    <definedName name="MKT_Units_3">'[1]8. Site Control'!$F$46</definedName>
    <definedName name="MKT_Units_30">'[1]8. Site Control'!$F$73</definedName>
    <definedName name="MKT_Units_31">'[1]8. Site Control'!$F$74</definedName>
    <definedName name="MKT_Units_32">'[1]8. Site Control'!$F$75</definedName>
    <definedName name="MKT_Units_33">'[1]8. Site Control'!$F$76</definedName>
    <definedName name="MKT_Units_34">'[1]8. Site Control'!$F$77</definedName>
    <definedName name="MKT_Units_4">'[1]8. Site Control'!$F$47</definedName>
    <definedName name="MKT_Units_5">'[1]8. Site Control'!$F$48</definedName>
    <definedName name="MKT_Units_6">'[1]8. Site Control'!$F$49</definedName>
    <definedName name="MKT_Units_7">'[1]8. Site Control'!$F$50</definedName>
    <definedName name="MKT_Units_8">'[1]8. Site Control'!$F$51</definedName>
    <definedName name="MKT_Units_9">'[1]8. Site Control'!$F$52</definedName>
    <definedName name="Name_Project_App_Nunber">'[1]5. Project Description'!$D$53</definedName>
    <definedName name="Net_Local_Dev_4">'[1]16. Project Costs'!$K$161</definedName>
    <definedName name="Net_Local_Dev_Total">'[1]16. Project Costs'!$F$161</definedName>
    <definedName name="New_Constr_Subtotal_Total">'[1]16. Project Costs'!$F$35</definedName>
    <definedName name="New_Construction_Units">'[1]5. Project Description'!$D$10</definedName>
    <definedName name="New_DevTeamCapacity_PointsClaimed">'[2]Scoring_9% NewConst&amp;AcqRehab'!$F$157</definedName>
    <definedName name="New_FedPreferences_PointsClaimed">'[2]Scoring_9% NewConst&amp;AcqRehab'!$F$15</definedName>
    <definedName name="New_FundingEfficiency_PointsClaimed">'[2]Scoring_9% NewConst&amp;AcqRehab'!$F$135</definedName>
    <definedName name="New_NeedAndOpportunity_PointsClaimed">'[2]Scoring_9% NewConst&amp;AcqRehab'!$F$39</definedName>
    <definedName name="New_Partnerships_PointsClaimed">'[2]Scoring_9% NewConst&amp;AcqRehab'!$F$83</definedName>
    <definedName name="New_ReadinesstoProceed_PointsClaimed">'[2]Scoring_9% NewConst&amp;AcqRehab'!$F$145</definedName>
    <definedName name="Non_elevator_Building">'[1]5. Project Description'!$D$67</definedName>
    <definedName name="Nonprofit_and_Community_Collaboration">'[1]40. Nonprofit Ownership'!$B$6</definedName>
    <definedName name="Number_Garages">'[1]12. Project &amp; Unit Amenities'!$G$23</definedName>
    <definedName name="Number_of_Payments">MATCH(0.01,End_Bal,-1)+1</definedName>
    <definedName name="Number_of_Stories_Elevator">'[1]5. Project Description'!$F$66</definedName>
    <definedName name="Number_of_Stories_No_Elevator">'[1]5. Project Description'!$F$67</definedName>
    <definedName name="Number_Surface_Parking">'[1]12. Project &amp; Unit Amenities'!$G$24</definedName>
    <definedName name="Number_Underground_Parking">'[1]12. Project &amp; Unit Amenities'!$G$25</definedName>
    <definedName name="Off_Site_Work_4">'[1]16. Project Costs'!$K$42</definedName>
    <definedName name="Off_Site_Work_Total">'[1]16. Project Costs'!$F$42</definedName>
    <definedName name="Office_Expenses">'[1]18. Projected Operating Costs'!$D$16</definedName>
    <definedName name="Office_or_Model_Apartment_Rent">'[1]18. Projected Operating Costs'!$D$17</definedName>
    <definedName name="Office_Salaries">'[1]18. Projected Operating Costs'!$D$15</definedName>
    <definedName name="OffSite_Subtotal_4">'[1]16. Project Costs'!$K$43</definedName>
    <definedName name="OffSite_Subtotal_9">'[1]16. Project Costs'!$J$43</definedName>
    <definedName name="OffSite_Subtotal_State">'[1]16. Project Costs'!$L$43</definedName>
    <definedName name="OffSite_Subtotal_Total">'[1]16. Project Costs'!$F$43</definedName>
    <definedName name="Operating_and_Maintenance_Rent_Fee_Unit">'[1]18. Projected Operating Costs'!$D$42</definedName>
    <definedName name="Operating_Expen_Res_Total">'[1]16. Project Costs'!$F$129</definedName>
    <definedName name="OperatingSubsideNoOfUnits">'[2]Proposal Summary'!$J$46</definedName>
    <definedName name="Organ_Legal_Fees_Total">'[1]16. Project Costs'!$F$123</definedName>
    <definedName name="Other">'[1]5. Project Description'!$D$27</definedName>
    <definedName name="Other_Acq_Total">'[1]16. Project Costs'!$F$19</definedName>
    <definedName name="Other_Administrative_Expenses">'[1]18. Projected Operating Costs'!$D$28</definedName>
    <definedName name="Other_Arch_4">'[1]16. Project Costs'!$K$120</definedName>
    <definedName name="Other_Arch_9">'[1]16. Project Costs'!$J$120</definedName>
    <definedName name="Other_Arch_State">'[1]16. Project Costs'!$L$120</definedName>
    <definedName name="Other_Arch_Total">'[1]16. Project Costs'!$F$120</definedName>
    <definedName name="Other_Cap_Reserves_Total">'[1]16. Project Costs'!$F$136</definedName>
    <definedName name="Other_Constr_Costs_4">'[1]16. Project Costs'!$K$100</definedName>
    <definedName name="Other_Constr_Costs_9">'[1]16. Project Costs'!$J$100</definedName>
    <definedName name="Other_Constr_Costs_State">'[1]16. Project Costs'!$L$100</definedName>
    <definedName name="Other_Constr_Costs_Total">'[1]16. Project Costs'!$F$100</definedName>
    <definedName name="Other_Contractor_Fee_4">'[1]16. Project Costs'!$K$60</definedName>
    <definedName name="Other_Contractor_Fee_Total">'[1]16. Project Costs'!$F$60</definedName>
    <definedName name="Other_Dev_Fees_4">'[1]16. Project Costs'!$K$175</definedName>
    <definedName name="Other_Dev_Fees_9">'[1]16. Project Costs'!$J$175</definedName>
    <definedName name="Other_Dev_Fees_State">'[1]16. Project Costs'!$L$175</definedName>
    <definedName name="Other_Dev_Fees_Total">'[1]16. Project Costs'!$F$175</definedName>
    <definedName name="Other_Fees_4">'[1]16. Project Costs'!$K$75</definedName>
    <definedName name="Other_Fees_Total">'[1]16. Project Costs'!$F$75</definedName>
    <definedName name="Other_Interim_4">'[1]16. Project Costs'!$K$97</definedName>
    <definedName name="Other_Interim_Total">'[1]16. Project Costs'!$F$97</definedName>
    <definedName name="Other_Lender_Fees_4">'[1]16. Project Costs'!$K$88</definedName>
    <definedName name="Other_Lender_Fees_9">'[1]16. Project Costs'!$J$88</definedName>
    <definedName name="Other_Lender_Fees_State">'[1]16. Project Costs'!$L$88</definedName>
    <definedName name="Other_Lender_Fees_Total">'[1]16. Project Costs'!$F$88</definedName>
    <definedName name="Other_Lender_Subtotal_Total">'[1]16. Project Costs'!$F$89</definedName>
    <definedName name="Other_Misc_Costs_4">'[1]16. Project Costs'!$K$167</definedName>
    <definedName name="Other_Misc_Costs_9">'[1]16. Project Costs'!$J$167</definedName>
    <definedName name="Other_Misc_Costs_State">'[1]16. Project Costs'!$L$167</definedName>
    <definedName name="Other_Misc_Costs_Total">'[1]16. Project Costs'!$F$167</definedName>
    <definedName name="Other_New_Construction_4">'[1]16. Project Costs'!$K$34</definedName>
    <definedName name="Other_New_Construction_9">'[1]16. Project Costs'!$J$34</definedName>
    <definedName name="Other_New_Construction_State">'[1]16. Project Costs'!$L$34</definedName>
    <definedName name="Other_New_Construction_Total">'[1]16. Project Costs'!$F$34</definedName>
    <definedName name="Other_Number_of_Units">'[1]5. Project Description'!$F$27</definedName>
    <definedName name="Other_PBANoOfUnits">'[2]Proposal Summary'!$J$48</definedName>
    <definedName name="Other_Perm_Finan_Total">'[1]16. Project Costs'!$F$113</definedName>
    <definedName name="Other_Purchase_4">'[1]16. Project Costs'!$K$18</definedName>
    <definedName name="Other_Purchase_9">'[1]16. Project Costs'!$J$18</definedName>
    <definedName name="Other_Purchase_State">'[1]16. Project Costs'!$L$18</definedName>
    <definedName name="Other_Purchase_Total">'[1]16. Project Costs'!$F$18</definedName>
    <definedName name="Other_Reports_4">'[1]16. Project Costs'!$K$151</definedName>
    <definedName name="Other_Reports_Total">'[1]16. Project Costs'!$F$151</definedName>
    <definedName name="Other_Reserve_Total">'[1]16. Project Costs'!$F$134</definedName>
    <definedName name="Other_SC_Subtotal_Total">'[1]16. Project Costs'!$F$168</definedName>
    <definedName name="Other_Site_Work_4">'[1]16. Project Costs'!$K$52</definedName>
    <definedName name="Other_Site_Work_9">'[1]16. Project Costs'!$J$52</definedName>
    <definedName name="Other_Site_Work_State">'[1]16. Project Costs'!$L$52</definedName>
    <definedName name="Other_Site_Work_Total">'[1]16. Project Costs'!$F$52</definedName>
    <definedName name="Other_Syn_Fees_Total">'[1]16. Project Costs'!$F$126</definedName>
    <definedName name="Other_Zoning_Fees_4">'[1]16. Project Costs'!$K$150</definedName>
    <definedName name="Other_Zoning_Fees_Total">'[1]16. Project Costs'!$F$150</definedName>
    <definedName name="Owner___Paid_Amenities">'[1]18. Projected Operating Costs'!$D$36</definedName>
    <definedName name="Owner_Address">'[1]10. Ownership Entity'!$C$10</definedName>
    <definedName name="Owner_City">'[1]10. Ownership Entity'!$C$12</definedName>
    <definedName name="Owner_Name">'[1]10. Ownership Entity'!$C$8</definedName>
    <definedName name="Owner_State">'[1]10. Ownership Entity'!$F$12</definedName>
    <definedName name="Owner_Zip">'[1]10. Ownership Entity'!$I$12</definedName>
    <definedName name="Ownership_Contact_Person_First_Name">'[1]10. Ownership Entity'!$C$14</definedName>
    <definedName name="Ownership_Contact_Person_Last_Name">'[1]10. Ownership Entity'!$F$14</definedName>
    <definedName name="Ownership_Entity">'[1]10. Ownership Entity'!$B$6</definedName>
    <definedName name="OwnershipEntity_Address">'[2]Development Team'!$D$70</definedName>
    <definedName name="OwnershipEntity_City">'[2]Development Team'!$D$71</definedName>
    <definedName name="OwnershipEntity_County">'[2]Development Team'!$D$72</definedName>
    <definedName name="OwnershipEntity_Email">'[2]Development Team'!$G$76</definedName>
    <definedName name="OwnershipEntity_Name">'[2]Development Team'!$D$69</definedName>
    <definedName name="OwnershipEntity_Phone">'[2]Development Team'!$G$75</definedName>
    <definedName name="OwnershipEntity_State">'[2]Development Team'!$D$73</definedName>
    <definedName name="OwnershipEntity_TaxID">'[2]Development Team'!$D$75</definedName>
    <definedName name="OwnershipEntity_Zip">'[2]Development Team'!$D$74</definedName>
    <definedName name="Payment_Date">DATE(YEAR(Loan_Start),MONTH(Loan_Start)+Payment_Number,DAY(Loan_Start))</definedName>
    <definedName name="Payroll">'[1]18. Projected Operating Costs'!$D$39</definedName>
    <definedName name="Payroll_Taxes___Project_Share">'[1]18. Projected Operating Costs'!$D$55</definedName>
    <definedName name="Per_Unit_Per_Month">'[1]18. Projected Operating Costs'!$D$90</definedName>
    <definedName name="Perm_Closing_Property_Total">'[1]16. Project Costs'!$F$111</definedName>
    <definedName name="Perm_Closing_Title_Total">'[1]16. Project Costs'!$F$110</definedName>
    <definedName name="Perm_Lender_Finan_Total">'[1]16. Project Costs'!$F$105</definedName>
    <definedName name="Perm_Lender_Legal_Total">'[1]16. Project Costs'!$F$108</definedName>
    <definedName name="Perm_Lender_Orig_Total">'[1]16. Project Costs'!$F$107</definedName>
    <definedName name="Perm_Relocation_Total">'[1]16. Project Costs'!$F$99</definedName>
    <definedName name="Permanent_Financing">'[1]14. Funding Sources'!$E$47</definedName>
    <definedName name="Permanent_Loan_Fees_Subtotal_Total">'[1]16. Project Costs'!$F$114</definedName>
    <definedName name="Permanently_Displaced">'[1]7. Site Description'!$E$29</definedName>
    <definedName name="Personal_Property_4">'[1]16. Project Costs'!$K$33</definedName>
    <definedName name="Personal_Property_9">'[1]16. Project Costs'!$J$33</definedName>
    <definedName name="Personal_Property_State">'[1]16. Project Costs'!$L$33</definedName>
    <definedName name="Personal_Property_Total">'[1]16. Project Costs'!$F$33</definedName>
    <definedName name="PersonsWithHIV">'[2]Project Details'!$C$162</definedName>
    <definedName name="PhyDisabilityNoOfUnits">'[2]Project Details'!$D$154</definedName>
    <definedName name="Physical_Capital_4">'[1]16. Project Costs'!$K$142</definedName>
    <definedName name="Physical_Capital_9">'[1]16. Project Costs'!$J$142</definedName>
    <definedName name="Physical_Capital_State">'[1]16. Project Costs'!$L$142</definedName>
    <definedName name="Physical_Capital_Total">'[1]16. Project Costs'!$F$142</definedName>
    <definedName name="PhysicalDisability">'[2]Project Details'!$C$154</definedName>
    <definedName name="Playground">'[1]12. Project &amp; Unit Amenities'!$G$35</definedName>
    <definedName name="Political_Jurisdiction">'[1]4. Project Name &amp; Location'!$D$22</definedName>
    <definedName name="Pool">'[1]12. Project &amp; Unit Amenities'!$J$34</definedName>
    <definedName name="Predev_Bridge_Finan_Fees_Total">'[1]16. Project Costs'!$F$82</definedName>
    <definedName name="Predev_Bridge_Loan_Int_Total">'[1]16. Project Costs'!$F$81</definedName>
    <definedName name="Predev_Bridge_Orig_Fees_Total">'[1]16. Project Costs'!$F$83</definedName>
    <definedName name="Pres_DevTeamCapacity_PointsClaimed">'[2]Scoring_9% Preservation'!$F$107</definedName>
    <definedName name="Pres_FedPreference_PointsClaimed">'[2]Scoring_9% Preservation'!$F$60</definedName>
    <definedName name="Pres_FundingEfficiency_PointsClaimed">'[2]Scoring_9% Preservation'!$F$83</definedName>
    <definedName name="Pres_NeedAndOpportunity_PointsClaimed">'[2]Scoring_9% Preservation'!$F$15</definedName>
    <definedName name="Pres_Partnerships_PointsClaimed">'[2]Scoring_9% Preservation'!$F$48</definedName>
    <definedName name="Pres_ReadinessToProceed_PointsClaimed">'[2]Scoring_9% Preservation'!$F$94</definedName>
    <definedName name="PresFed_BudgetCostAllocation_PointsClaimed">'[2]Scoring_Preservation FedRAH'!$F$37</definedName>
    <definedName name="PresFed_RiskofExpiration_PointsClaimed">'[2]Scoring_Preservation FedRAH'!$F$14</definedName>
    <definedName name="PresFed_TenantVulnerability_PointsClaimed">'[2]Scoring_Preservation FedRAH'!$F$23</definedName>
    <definedName name="PresPUSH_BudgetCostAllocation_PointsClaimed">'[2]Scoring_Preservation PuSH'!$F$49</definedName>
    <definedName name="PresPUSH_RiskofLoss_PointsClaimed">'[2]Scoring_Preservation PuSH'!$F$14</definedName>
    <definedName name="PresPUSH_TenantVulnerability_PointsClaimed">'[2]Scoring_Preservation PuSH'!$F$35</definedName>
    <definedName name="PrevIncarceratedNoOfUnits">'[2]Project Details'!$D$161</definedName>
    <definedName name="PreviouslyIncarcerated">'[2]Project Details'!$C$161</definedName>
    <definedName name="Principal1_Address">'[1]10. Ownership Entity'!$C$24</definedName>
    <definedName name="Principal1_City">'[1]10. Ownership Entity'!$C$25</definedName>
    <definedName name="Principal1_Email">'[1]10. Ownership Entity'!$I$26</definedName>
    <definedName name="Principal1_First_Name">'[1]10. Ownership Entity'!$C$23</definedName>
    <definedName name="Principal1_Last_Name">'[1]10. Ownership Entity'!$F$23</definedName>
    <definedName name="Principal1_State">'[1]10. Ownership Entity'!$F$25</definedName>
    <definedName name="Principal1_Telephone">'[1]10. Ownership Entity'!$C$26</definedName>
    <definedName name="Principal1_Zip">'[1]10. Ownership Entity'!$I$25</definedName>
    <definedName name="Principal2_Address">'[1]10. Ownership Entity'!$C$35</definedName>
    <definedName name="Principal2_City">'[1]10. Ownership Entity'!$C$36</definedName>
    <definedName name="Principal2_Email">'[1]10. Ownership Entity'!$I$37</definedName>
    <definedName name="Principal2_First_Name">'[1]10. Ownership Entity'!$C$34</definedName>
    <definedName name="Principal2_Last_Name">'[1]10. Ownership Entity'!$F$34</definedName>
    <definedName name="Principal2_State">'[1]10. Ownership Entity'!$F$36</definedName>
    <definedName name="Principal2_Telephone">'[1]10. Ownership Entity'!$C$37</definedName>
    <definedName name="Principal2_Zip">'[1]10. Ownership Entity'!$I$36</definedName>
    <definedName name="Principal3_Address">'[1]10. Ownership Entity'!$C$46</definedName>
    <definedName name="Principal3_City">'[1]10. Ownership Entity'!$C$47</definedName>
    <definedName name="Principal3_Email">'[1]10. Ownership Entity'!$I$48</definedName>
    <definedName name="Principal3_First_Name">'[1]10. Ownership Entity'!$C$45</definedName>
    <definedName name="Principal3_Last_Name">'[1]10. Ownership Entity'!$F$45</definedName>
    <definedName name="Principal3_State">'[1]10. Ownership Entity'!$F$47</definedName>
    <definedName name="Principal3_Telephone">'[1]10. Ownership Entity'!$C$48</definedName>
    <definedName name="Principal3_Zip">'[1]10. Ownership Entity'!$I$47</definedName>
    <definedName name="_xlnm.Print_Area" localSheetId="0">'23. Construction Draw Schedule'!$B$7:$AK$267</definedName>
    <definedName name="Project_and_Unit_Amenities">'[1]12. Project &amp; Unit Amenities'!$B$6</definedName>
    <definedName name="Project_Cash_Flow">'[1]19. Projected Cash Flow'!$B$6</definedName>
    <definedName name="Project_Costs_and_Credit_Calculation">'[1]16. Project Costs'!$B$6</definedName>
    <definedName name="Project_Description">'[1]5. Project Description'!$B$6</definedName>
    <definedName name="Project_Name">'[1]4. Project Name &amp; Location'!$D$8</definedName>
    <definedName name="Project_Name_and_Location">'[1]4. Project Name &amp; Location'!$B$6</definedName>
    <definedName name="Project_SOV">'[1]15. Construction Cost SOV'!$B$6</definedName>
    <definedName name="Project_Summary_Tab">'[1]3. Project Summary'!$B$4</definedName>
    <definedName name="Project_Team">'[1]11. Project Team'!$B$6</definedName>
    <definedName name="Project_Type">'[1]5. Project Description'!$D$8</definedName>
    <definedName name="ProjectBasedVASHRuralNoOfUnits">'[2]Proposal Summary'!$J$40</definedName>
    <definedName name="Projected_Operating_Costs">'[1]18. Projected Operating Costs'!$B$6</definedName>
    <definedName name="ProjectManager_Email">'[2]Development Team'!$D$88</definedName>
    <definedName name="ProjectManager_First_Name">'[2]Development Team'!$D$83</definedName>
    <definedName name="ProjectManager_Last_Name">'[2]Development Team'!$D$84</definedName>
    <definedName name="ProjectManager_Telephone">'[2]Development Team'!$D$87</definedName>
    <definedName name="ProjectType">'[1]Dropdown Lists'!$D$2:$D$8</definedName>
    <definedName name="Property_address">'[1]4. Project Name &amp; Location'!$D$10</definedName>
    <definedName name="Property_and_Liability_Insurance__Hazard">'[1]18. Projected Operating Costs'!$D$53</definedName>
    <definedName name="Property_Census_Tract">'[1]4. Project Name &amp; Location'!$D$15</definedName>
    <definedName name="Property_City">'[1]4. Project Name &amp; Location'!$D$12</definedName>
    <definedName name="Property_County">'[1]4. Project Name &amp; Location'!$D$13</definedName>
    <definedName name="Property_Description">'[1]7. Site Description'!$E$49</definedName>
    <definedName name="Property_Zip_Code">'[1]4. Project Name &amp; Location'!$F$13</definedName>
    <definedName name="Rate_1">'[1]14. Funding Sources'!$J$16</definedName>
    <definedName name="Rate_10">'[1]14. Funding Sources'!$J$25</definedName>
    <definedName name="Rate_2">'[1]14. Funding Sources'!$J$17</definedName>
    <definedName name="Rate_3">'[1]14. Funding Sources'!$J$18</definedName>
    <definedName name="Rate_4">'[1]14. Funding Sources'!$J$19</definedName>
    <definedName name="Rate_5">'[1]14. Funding Sources'!$J$20</definedName>
    <definedName name="Rate_6">'[1]14. Funding Sources'!$J$21</definedName>
    <definedName name="Rate_7">'[1]14. Funding Sources'!$J$22</definedName>
    <definedName name="Rate_8">'[1]14. Funding Sources'!$J$23</definedName>
    <definedName name="Rate_9">'[1]14. Funding Sources'!$J$24</definedName>
    <definedName name="RCAC">'[1]5. Project Description'!$D$45</definedName>
    <definedName name="RCAC_Number_of_Units">'[1]5. Project Description'!$F$45</definedName>
    <definedName name="RD_Rental_Assistance">'[1]5. Project Description'!$D$20</definedName>
    <definedName name="RD_Rental_Assistance_Number_of_Units">'[1]5. Project Description'!$F$20</definedName>
    <definedName name="Real_Estate___Personal_Property__Taxes">'[1]18. Projected Operating Costs'!$D$52</definedName>
    <definedName name="Rehab_Neighborhood_Points">'[1]24. Instructions Scoring Sum'!$G$39</definedName>
    <definedName name="Rehab_Neighborhood_Stabilization">'[1]32. Rehab Neighborhood Stabili'!$B$6</definedName>
    <definedName name="Rehabilitation_expenditures_allocable_to_low_income_units">'[1]8. Site Control'!$D$30</definedName>
    <definedName name="Rent_Surface_Parking">'[1]12. Project &amp; Unit Amenities'!$J$24</definedName>
    <definedName name="Rent_Underground_Parking">'[1]12. Project &amp; Unit Amenities'!$J$25</definedName>
    <definedName name="Rental">'[1]5. Project Description'!$D$84</definedName>
    <definedName name="Rental_Targeted_For_Eventual_Resident_Ownership">'[1]5. Project Description'!$D$85</definedName>
    <definedName name="Replacement_Reserves">'[1]22. Replacement Reserves'!$B$6</definedName>
    <definedName name="Replacement_Reserves_Total">'[1]16. Project Costs'!$F$130</definedName>
    <definedName name="Res_HC_Contingency_4">'[1]16. Project Costs'!$K$64</definedName>
    <definedName name="Res_HC_Contingency_9">'[1]16. Project Costs'!$J$64</definedName>
    <definedName name="Res_HC_Contingency_State">'[1]16. Project Costs'!$L$64</definedName>
    <definedName name="Res_HC_Contingency_Total">'[1]16. Project Costs'!$F$64</definedName>
    <definedName name="Res_SC_Contingency_4">'[1]16. Project Costs'!$K$65</definedName>
    <definedName name="Res_SC_Contingency_9">'[1]16. Project Costs'!$J$65</definedName>
    <definedName name="Res_SC_Contingency_State">'[1]16. Project Costs'!$L$65</definedName>
    <definedName name="Res_SC_Contingency_Total">'[1]16. Project Costs'!$F$65</definedName>
    <definedName name="Resident_Computer_Center">'[1]12. Project &amp; Unit Amenities'!$D$31</definedName>
    <definedName name="Revitalization">'[1]4. Project Name &amp; Location'!$D$17</definedName>
    <definedName name="Roads_4">'[1]16. Project Costs'!$K$41</definedName>
    <definedName name="Roads_Total">'[1]16. Project Costs'!$F$41</definedName>
    <definedName name="Roads_Walks_4">'[1]16. Project Costs'!$K$47</definedName>
    <definedName name="Roads_Walks_Total">'[1]16. Project Costs'!$F$47</definedName>
    <definedName name="Row_House_Town_House">'[1]5. Project Description'!$D$68</definedName>
    <definedName name="Rural_Areas_Points">'[1]24. Instructions Scoring Sum'!$G$45</definedName>
    <definedName name="Rural_Areas_without_Recent_Housing_Tax_Credit_Awards">'[1]38. Rural Areas w_o TC'!$B$6</definedName>
    <definedName name="RuralDevNoOfUnits">'[2]Proposal Summary'!$J$38</definedName>
    <definedName name="Scattered_Site">'[3]Project Details'!$F$21</definedName>
    <definedName name="SD_D_Blank" hidden="1">[1]SD_Dropdowns!$A$1</definedName>
    <definedName name="SD_D_DEVDeals_2730_DEVFunding_Name" hidden="1">[4]SD_Dropdowns!$GA$2:$GA$231</definedName>
    <definedName name="SD_D_DEVDeals_2956_DEVFunding_Name" hidden="1">[2]SD_Dropdowns!$MD$2:$MD$233</definedName>
    <definedName name="SD_D_PL_AirConditioningType_Name" hidden="1">[1]SD_Dropdowns!$AQ$2:$AQ$6</definedName>
    <definedName name="SD_D_PL_BldgAllocType_Name" hidden="1">[1]SD_Dropdowns!$I$2:$I$9</definedName>
    <definedName name="SD_D_PL_BuildingType_Name" hidden="1">[1]SD_Dropdowns!$AW$2:$AW$8</definedName>
    <definedName name="SD_D_PL_CookingType_Name" hidden="1">[1]SD_Dropdowns!$AU$2:$AU$5</definedName>
    <definedName name="SD_D_PL_DealEntityRole_Name" hidden="1">[1]SD_Dropdowns!$BO$2:$BO$22</definedName>
    <definedName name="SD_D_PL_EntityCompanyOrIndividual_Name" hidden="1">[1]SD_Dropdowns!$BM$2:$BM$4</definedName>
    <definedName name="SD_D_PL_FinancingType_Name" hidden="1">[1]SD_Dropdowns!$AM$2:$AM$5</definedName>
    <definedName name="SD_D_PL_FundingOpportunity_Name" hidden="1">[2]SD_Dropdowns!$HR$2:$HR$58</definedName>
    <definedName name="SD_D_PL_HeatingType_Name" hidden="1">[1]SD_Dropdowns!$AO$2:$AO$9</definedName>
    <definedName name="SD_D_PL_HotWaterType_Name" hidden="1">[1]SD_Dropdowns!$AS$2:$AS$5</definedName>
    <definedName name="SD_D_PL_IncomeTarget_Name" hidden="1">[1]SD_Dropdowns!$AY$2:$AY$9</definedName>
    <definedName name="SD_D_PL_Jurisdiction_Name" hidden="1">[1]SD_Dropdowns!$E$2:$E$74</definedName>
    <definedName name="SD_D_PL_LoanProductType_Name" hidden="1">[1]SD_Dropdowns!$BE$2:$BE$14</definedName>
    <definedName name="SD_D_PL_ProgramType_Name" hidden="1">[1]SD_Dropdowns!$BC$2:$BC$7</definedName>
    <definedName name="SD_D_PL_ResidentialApartmentType_Name" hidden="1">[1]SD_Dropdowns!$BI$2:$BI$6</definedName>
    <definedName name="SD_D_PL_State_Name" hidden="1">[1]SD_Dropdowns!$C$2:$C$53</definedName>
    <definedName name="SD_D_PL_TargetType_Name" hidden="1">[1]SD_Dropdowns!$G$2:$G$9</definedName>
    <definedName name="SD_D_PL_TCUnitMixType_Name" hidden="1">[1]SD_Dropdowns!$BA$2:$BA$8</definedName>
    <definedName name="SD_D_PL_TCUnitType_Name" hidden="1">[1]SD_Dropdowns!$K$2:$K$8</definedName>
    <definedName name="SD_D_PL_UDF_112_Name" hidden="1">[1]SD_Dropdowns!$M$2:$M$4</definedName>
    <definedName name="SD_D_PL_UDF_113_Name" hidden="1">[1]SD_Dropdowns!$O$2:$O$4</definedName>
    <definedName name="SD_D_PL_UDF_114_Name" hidden="1">[1]SD_Dropdowns!$BQ$2:$BQ$4</definedName>
    <definedName name="SD_D_PL_UDF_123_Name" hidden="1">[1]SD_Dropdowns!$BS$2:$BS$4</definedName>
    <definedName name="SD_D_PL_UDF_125_Name" hidden="1">[1]SD_Dropdowns!$BU$2:$BU$10</definedName>
    <definedName name="SD_D_PL_UDF_126_Name" hidden="1">[1]SD_Dropdowns!$BW$2:$BW$5</definedName>
    <definedName name="SD_D_PL_UDF_128_Name" hidden="1">[1]SD_Dropdowns!$BY$2:$BY$4</definedName>
    <definedName name="SD_D_PL_UDF_131_Name" hidden="1">[1]SD_Dropdowns!$CA$2:$CA$4</definedName>
    <definedName name="SD_D_PL_UDF_132_Name" hidden="1">[1]SD_Dropdowns!$CC$2:$CC$4</definedName>
    <definedName name="SD_D_PL_UDF_133_Name" hidden="1">[1]SD_Dropdowns!$CE$2:$CE$4</definedName>
    <definedName name="SD_D_PL_UDF_134_Name" hidden="1">[1]SD_Dropdowns!$CG$2:$CG$4</definedName>
    <definedName name="SD_D_PL_UDF_135_Name" hidden="1">[1]SD_Dropdowns!$CI$2:$CI$4</definedName>
    <definedName name="SD_D_PL_UDF_136_Name" hidden="1">[1]SD_Dropdowns!$CK$2:$CK$4</definedName>
    <definedName name="SD_D_PL_UDF_137_Name" hidden="1">[1]SD_Dropdowns!$CM$2:$CM$4</definedName>
    <definedName name="SD_D_PL_UDF_138_Name" hidden="1">[1]SD_Dropdowns!$CO$2:$CO$4</definedName>
    <definedName name="SD_D_PL_UDF_140_Name" hidden="1">[1]SD_Dropdowns!$Q$2:$Q$4</definedName>
    <definedName name="SD_D_PL_UDF_141_Name" hidden="1">[1]SD_Dropdowns!$S$2:$S$4</definedName>
    <definedName name="SD_D_PL_UDF_142_Name" hidden="1">[1]SD_Dropdowns!$U$2:$U$4</definedName>
    <definedName name="SD_D_PL_UDF_143_Name" hidden="1">[1]SD_Dropdowns!$W$2:$W$4</definedName>
    <definedName name="SD_D_PL_UDF_144_Name" hidden="1">[1]SD_Dropdowns!$Y$2:$Y$4</definedName>
    <definedName name="SD_D_PL_UDF_168_Name" hidden="1">[1]SD_Dropdowns!$AA$2:$AA$4</definedName>
    <definedName name="SD_D_PL_UDF_169_Name" hidden="1">[1]SD_Dropdowns!$AC$2:$AC$4</definedName>
    <definedName name="SD_D_PL_UDF_170_Name" hidden="1">[1]SD_Dropdowns!$AE$2:$AE$4</definedName>
    <definedName name="SD_D_PL_UDF_171_Name" hidden="1">[1]SD_Dropdowns!$AG$2:$AG$4</definedName>
    <definedName name="SD_D_PL_UDF_172_Name" hidden="1">[1]SD_Dropdowns!$AI$2:$AI$4</definedName>
    <definedName name="SD_D_PL_UDF_173_Name" hidden="1">[1]SD_Dropdowns!$AK$2:$AK$4</definedName>
    <definedName name="SD_D_PL_UDF_181_Name" hidden="1">[1]SD_Dropdowns!$CQ$2:$CQ$4</definedName>
    <definedName name="SD_D_PL_UDF_182_Name" hidden="1">[1]SD_Dropdowns!$CS$2:$CS$4</definedName>
    <definedName name="SD_D_PL_UDF_183_Name" hidden="1">[1]SD_Dropdowns!$CU$2:$CU$4</definedName>
    <definedName name="SD_D_PL_UDF_258_Name" hidden="1">[2]SD_Dropdowns!$MF$2:$MF$32</definedName>
    <definedName name="SD_D_PL_UDF_259_Name" hidden="1">[2]SD_Dropdowns!$MH$2:$MH$63</definedName>
    <definedName name="SD_D_PL_UDF_460_Name" hidden="1">[2]SD_Dropdowns!$MJ$2:$MJ$7</definedName>
    <definedName name="SD_D_PL_UDF_491_Name" hidden="1">[2]SD_Dropdowns!$ML$2:$ML$6</definedName>
    <definedName name="SD_D_PL_UDF_560_Name" hidden="1">[2]SD_Dropdowns!$MN$2:$MN$5</definedName>
    <definedName name="SD_D_PL_UDF_572_Name" hidden="1">[2]SD_Dropdowns!$MP$2:$MP$7</definedName>
    <definedName name="SD_D_PL_UnitMixAmiPercent_Name" hidden="1">[1]SD_Dropdowns!$BK$2:$BK$9</definedName>
    <definedName name="SD_D_PL_UnitType_Name" hidden="1">[1]SD_Dropdowns!$BG$2:$BG$8</definedName>
    <definedName name="Section_221_d__3__BMIR">'[1]5. Project Description'!$D$21</definedName>
    <definedName name="Section_221_d__3__BMIR_Number_of_Units">'[1]5. Project Description'!$F$21</definedName>
    <definedName name="Section_236">'[1]5. Project Description'!$D$22</definedName>
    <definedName name="Section_236_Number_of_Units">'[1]5. Project Description'!$F$22</definedName>
    <definedName name="Section_8_Housing_Assistance_Payment_Contract">'[1]5. Project Description'!$D$24</definedName>
    <definedName name="Section_8_Housing_Assistance_Payment_Contract_Number_of_Units">'[1]5. Project Description'!$F$24</definedName>
    <definedName name="Section_8_Rent_Supplemental_or_Rental_Assistance_Payment">'[1]5. Project Description'!$D$23</definedName>
    <definedName name="Section_8_Rent_Supplemental_or_Rental_Assistance_Payment_Number_of_Units">'[1]5. Project Description'!$F$23</definedName>
    <definedName name="Section_811_Vouchers_Number_of_Units">'[1]5. Project Description'!$F$26</definedName>
    <definedName name="Security_Locked_Building">'[1]12. Project &amp; Unit Amenities'!$D$37</definedName>
    <definedName name="Security_Payroll___Contract__incl_taxes_and_benefits">'[1]18. Projected Operating Costs'!$D$44</definedName>
    <definedName name="Security_Rent_Free_Unit">'[1]18. Projected Operating Costs'!$D$45</definedName>
    <definedName name="Self_Scoring">'[1]Self Scoring checklist'!$D$1</definedName>
    <definedName name="Seniors">'[2]Project Details'!$C$153</definedName>
    <definedName name="SeniorsNoOfUnits">'[2]Project Details'!$D$153</definedName>
    <definedName name="Serve_Low_Income_Ponts">'[1]24. Instructions Scoring Sum'!$G$36</definedName>
    <definedName name="Serves_Large_Families">'[1]28. Serves Large Families'!$B$6</definedName>
    <definedName name="Serves_Large_Family_Points">'[1]24. Instructions Scoring Sum'!$G$35</definedName>
    <definedName name="Serves_Lowest_Income_Residents">'[1]29. Serves Lowest Income'!$B$6</definedName>
    <definedName name="Serves_Special_Needs">'[1]36. Serves Special Needs'!$B$6</definedName>
    <definedName name="Set_Aside">'[1]5. Project Description'!$D$56</definedName>
    <definedName name="SetAside">'[1]Dropdown Lists'!$F$2:$F$7</definedName>
    <definedName name="Sewer">'[1]18. Projected Operating Costs'!$D$35</definedName>
    <definedName name="Single_Room_Occupancy">'[1]5. Project Description'!$D$43</definedName>
    <definedName name="Single_Room_Occupancy_Number_of_Units">'[1]5. Project Description'!$F$43</definedName>
    <definedName name="Site_Contol">'[1]8. Site Control'!$B$6</definedName>
    <definedName name="Site_Description">'[1]7. Site Description'!$B$6</definedName>
    <definedName name="Site_Subtotal_Total">'[1]16. Project Costs'!$F$53</definedName>
    <definedName name="Site_Utilities_4">'[1]16. Project Costs'!$K$48</definedName>
    <definedName name="Site_Utilities_Total">'[1]16. Project Costs'!$F$48</definedName>
    <definedName name="SiteA_City">'[2]Project Details'!$C$17</definedName>
    <definedName name="SiteA_County">'[2]Project Details'!$C$21</definedName>
    <definedName name="SiteB_Address">'[2]Project Details'!$I$16</definedName>
    <definedName name="SiteB_City">'[2]Project Details'!$I$17</definedName>
    <definedName name="SiteB_County">'[2]Project Details'!$I$21</definedName>
    <definedName name="SiteB_Zip">'[2]Project Details'!$I$19</definedName>
    <definedName name="SiteC_Address">'[2]Project Details'!$C$50</definedName>
    <definedName name="SiteC_City">'[2]Project Details'!$C$51</definedName>
    <definedName name="SiteC_County">'[2]Project Details'!$C$55</definedName>
    <definedName name="SiteC_Zip">'[2]Project Details'!$C$53</definedName>
    <definedName name="SiteD_Address">'[2]Project Details'!$I$50</definedName>
    <definedName name="SiteD_City">'[2]Project Details'!$I$51</definedName>
    <definedName name="SiteD_County">'[2]Project Details'!$I$55</definedName>
    <definedName name="SiteD_Zip">'[2]Project Details'!$I$53</definedName>
    <definedName name="SiteE_Address">'[2]Project Details'!$C$84</definedName>
    <definedName name="SiteE_City">'[2]Project Details'!$C$85</definedName>
    <definedName name="SiteE_County">'[2]Project Details'!$C$89</definedName>
    <definedName name="SiteE_Zip">'[2]Project Details'!$C$87</definedName>
    <definedName name="SiteF_Address">'[2]Project Details'!$I$84</definedName>
    <definedName name="SiteF_City">'[2]Project Details'!$I$85</definedName>
    <definedName name="SiteF_County">'[2]Project Details'!$I$89</definedName>
    <definedName name="SiteF_Zip">'[2]Project Details'!$I$87</definedName>
    <definedName name="Snow_Removal">'[1]18. Projected Operating Costs'!$D$47</definedName>
    <definedName name="Soils_4">'[1]16. Project Costs'!$K$147</definedName>
    <definedName name="Soils_Total">'[1]16. Project Costs'!$F$147</definedName>
    <definedName name="Source_1">'[1]14. Funding Sources'!$C$16</definedName>
    <definedName name="Source_10">'[1]14. Funding Sources'!$C$25</definedName>
    <definedName name="Source_2">'[1]14. Funding Sources'!$C$17</definedName>
    <definedName name="Source_3">'[1]14. Funding Sources'!$C$18</definedName>
    <definedName name="Source_4">'[1]14. Funding Sources'!$C$19</definedName>
    <definedName name="Source_5">'[1]14. Funding Sources'!$C$20</definedName>
    <definedName name="Source_6">'[1]14. Funding Sources'!$C$21</definedName>
    <definedName name="Source_7">'[1]14. Funding Sources'!$C$22</definedName>
    <definedName name="Source_8">'[1]14. Funding Sources'!$C$23</definedName>
    <definedName name="Source_9">'[1]14. Funding Sources'!$C$24</definedName>
    <definedName name="SourceUtlityAllowanceAssumptions">'[1]Dropdown Lists'!$U$2:$U$7</definedName>
    <definedName name="SPMI">'[2]Project Details'!$C$156</definedName>
    <definedName name="SPMINoOfUnits">'[2]Project Details'!$D$156</definedName>
    <definedName name="Stab_RentUp_Res_Total">'[1]16. Project Costs'!$F$131</definedName>
    <definedName name="State_Credits">'[1]17. Credit Calc'!$Q$61</definedName>
    <definedName name="State_HTC_Equity">'[1]14. Funding Sources'!$E$42</definedName>
    <definedName name="SUBMISSIONDATE">'[2]Project Details'!$C$5</definedName>
    <definedName name="SubsidySource">'[1]Dropdown Lists'!$J$2:$J$3</definedName>
    <definedName name="Substance_Use_Disorder">'[2]Project Details'!$C$157</definedName>
    <definedName name="SubstanceNoOfUnits">'[2]Project Details'!$D$157</definedName>
    <definedName name="Subtotal__Administrative_Expenses">'[1]18. Projected Operating Costs'!$D$29</definedName>
    <definedName name="Subtotal__Operating___Maintenance_Expenses">'[1]18. Projected Operating Costs'!$D$50</definedName>
    <definedName name="Subtotal__Rent_Expense">'[1]18. Projected Operating Costs'!$D$13</definedName>
    <definedName name="Subtotal__Service_Expense">'[1]18. Projected Operating Costs'!$D$86</definedName>
    <definedName name="Subtotal__Taxes_and_Insurance">'[1]18. Projected Operating Costs'!$D$60</definedName>
    <definedName name="Subtotal__Utilities_Expenses">'[1]18. Projected Operating Costs'!$D$37</definedName>
    <definedName name="Supplies">'[1]18. Projected Operating Costs'!$D$40</definedName>
    <definedName name="Supportive_Housing">'[1]5. Project Description'!$D$42</definedName>
    <definedName name="Supportive_Housing_Header">'[1]30. Supportive Housing'!$B$6</definedName>
    <definedName name="Supportive_Housing_Number_of_Units">'[1]5. Project Description'!$F$42</definedName>
    <definedName name="Supportive_Housing_Points">'[1]24. Instructions Scoring Sum'!$G$37</definedName>
    <definedName name="Surface_Parking">'[1]12. Project &amp; Unit Amenities'!$D$24</definedName>
    <definedName name="Surface_Rent_Per_Year">'[1]12. Project &amp; Unit Amenities'!$L$22</definedName>
    <definedName name="SurvivorsOfDomesticViolence">'[2]Project Details'!$C$160</definedName>
    <definedName name="Syndication_Fee_Subtotal_Total">'[1]16. Project Costs'!$F$127</definedName>
    <definedName name="Syndicator">'[1]11. Project Team'!$D$57</definedName>
    <definedName name="Syndicator_City">'[1]11. Project Team'!$D$61</definedName>
    <definedName name="Syndicator_Email">'[2]Development Team'!$G$238</definedName>
    <definedName name="Syndicator_Email_Address">'[1]11. Project Team'!$G$63</definedName>
    <definedName name="Syndicator_First_Name">'[1]11. Project Team'!$D$65</definedName>
    <definedName name="Syndicator_Identity_of_Interest?">'[1]11. Project Team'!$D$55</definedName>
    <definedName name="Syndicator_Investor_Name">'[2]Development Team'!$D$233</definedName>
    <definedName name="Syndicator_Last_Name">'[1]11. Project Team'!$F$65</definedName>
    <definedName name="Syndicator_State">'[1]11. Project Team'!$F$61</definedName>
    <definedName name="Syndicator_Street_Address">'[1]11. Project Team'!$D$59</definedName>
    <definedName name="Syndicator_Telephone">'[2]Development Team'!$G$237</definedName>
    <definedName name="Syndicator_Telephone_Number">'[1]11. Project Team'!$D$63</definedName>
    <definedName name="Syndicator_Zipcode">'[1]11. Project Team'!$H$61</definedName>
    <definedName name="Table_of_Contents">'[1]2. TOC'!$B$4</definedName>
    <definedName name="Tax_Credit_Monitoring_Fees">'[1]18. Projected Operating Costs'!$D$26</definedName>
    <definedName name="Tax_Credit_Signature_Page">'[1]Tax Credit Signatures'!$B$6</definedName>
    <definedName name="Tax_Opinion_Total">'[1]16. Project Costs'!$F$125</definedName>
    <definedName name="Taxes_During_Constr_4">'[1]16. Project Costs'!$K$92</definedName>
    <definedName name="Taxes_During_Constr_9">'[1]16. Project Costs'!$J$92</definedName>
    <definedName name="Taxes_During_Constr_State">'[1]16. Project Costs'!$L$92</definedName>
    <definedName name="Taxes_During_Constr_Total">'[1]16. Project Costs'!$F$92</definedName>
    <definedName name="TC_Percent">'[1]5. Project Description'!$D$57</definedName>
    <definedName name="TC_Units_1">'[1]8. Site Control'!$G$44</definedName>
    <definedName name="TC_Units_10">'[1]8. Site Control'!$G$53</definedName>
    <definedName name="TC_Units_11">'[1]8. Site Control'!$G$54</definedName>
    <definedName name="TC_Units_12">'[1]8. Site Control'!$G$55</definedName>
    <definedName name="TC_Units_13">'[1]8. Site Control'!$G$56</definedName>
    <definedName name="TC_Units_14">'[1]8. Site Control'!$G$57</definedName>
    <definedName name="TC_Units_15">'[1]8. Site Control'!$G$58</definedName>
    <definedName name="TC_Units_16">'[1]8. Site Control'!$G$59</definedName>
    <definedName name="TC_Units_17">'[1]8. Site Control'!$G$60</definedName>
    <definedName name="TC_Units_18">'[1]8. Site Control'!$G$61</definedName>
    <definedName name="TC_Units_19">'[1]8. Site Control'!$G$62</definedName>
    <definedName name="TC_Units_2">'[1]8. Site Control'!$G$45</definedName>
    <definedName name="TC_Units_20">'[1]8. Site Control'!$G$63</definedName>
    <definedName name="TC_Units_21">'[1]8. Site Control'!$G$64</definedName>
    <definedName name="TC_Units_22">'[1]8. Site Control'!$G$65</definedName>
    <definedName name="TC_Units_23">'[1]8. Site Control'!$G$66</definedName>
    <definedName name="TC_Units_24">'[1]8. Site Control'!$G$67</definedName>
    <definedName name="TC_Units_25">'[1]8. Site Control'!$G$68</definedName>
    <definedName name="TC_Units_26">'[1]8. Site Control'!$G$69</definedName>
    <definedName name="TC_Units_27">'[1]8. Site Control'!$G$70</definedName>
    <definedName name="TC_Units_28">'[1]8. Site Control'!$G$71</definedName>
    <definedName name="TC_Units_29">'[1]8. Site Control'!$G$72</definedName>
    <definedName name="TC_Units_3">'[1]8. Site Control'!$G$46</definedName>
    <definedName name="TC_Units_30">'[1]8. Site Control'!$G$73</definedName>
    <definedName name="TC_Units_31">'[1]8. Site Control'!$G$74</definedName>
    <definedName name="TC_Units_32">'[1]8. Site Control'!$G$75</definedName>
    <definedName name="TC_Units_33">'[1]8. Site Control'!$G$76</definedName>
    <definedName name="TC_Units_34">'[1]8. Site Control'!$G$77</definedName>
    <definedName name="TC_Units_4">'[1]8. Site Control'!$G$47</definedName>
    <definedName name="TC_Units_5">'[1]8. Site Control'!$G$48</definedName>
    <definedName name="TC_Units_6">'[1]8. Site Control'!$G$49</definedName>
    <definedName name="TC_Units_7">'[1]8. Site Control'!$G$50</definedName>
    <definedName name="TC_Units_8">'[1]8. Site Control'!$G$51</definedName>
    <definedName name="TC_Units_9">'[1]8. Site Control'!$G$52</definedName>
    <definedName name="TE_Bond_Alloc_Total">'[1]16. Project Costs'!$F$70</definedName>
    <definedName name="Temp_Reloocation_4">'[1]16. Project Costs'!$K$98</definedName>
    <definedName name="Temp_Reloocation_9">'[1]16. Project Costs'!$J$98</definedName>
    <definedName name="Temp_Reloocation_State">'[1]16. Project Costs'!$L$98</definedName>
    <definedName name="Temp_Reloocation_Total">'[1]16. Project Costs'!$F$98</definedName>
    <definedName name="Temporary_Displaced">'[1]7. Site Description'!$E$28</definedName>
    <definedName name="Term_1">'[1]14. Funding Sources'!$K$16</definedName>
    <definedName name="Term_10">'[1]14. Funding Sources'!$K$25</definedName>
    <definedName name="Term_2">'[1]14. Funding Sources'!$K$17</definedName>
    <definedName name="Term_3">'[1]14. Funding Sources'!$K$18</definedName>
    <definedName name="Term_4">'[1]14. Funding Sources'!$K$19</definedName>
    <definedName name="Term_5">'[1]14. Funding Sources'!$K$20</definedName>
    <definedName name="Term_6">'[1]14. Funding Sources'!$K$21</definedName>
    <definedName name="Term_7">'[1]14. Funding Sources'!$K$22</definedName>
    <definedName name="Term_8">'[1]14. Funding Sources'!$K$23</definedName>
    <definedName name="Term_9">'[1]14. Funding Sources'!$K$24</definedName>
    <definedName name="tetertertert">MATCH(0.01,End_Bal,-1)+1</definedName>
    <definedName name="Third_Party_Review_4">'[1]16. Project Costs'!$K$149</definedName>
    <definedName name="Third_Party_Review_Total">'[1]16. Project Costs'!$F$149</definedName>
    <definedName name="Title_Recording_4">'[1]16. Project Costs'!$K$93</definedName>
    <definedName name="Title_Recording_9">'[1]16. Project Costs'!$J$93</definedName>
    <definedName name="Title_Recording_State">'[1]16. Project Costs'!$L$93</definedName>
    <definedName name="Title_Recording_Total">'[1]16. Project Costs'!$F$93</definedName>
    <definedName name="Total____of__Units_13">'[1]13. Unit Mix'!$H$30</definedName>
    <definedName name="Total_Buildable_Acreage">'[1]7. Site Description'!$F$8</definedName>
    <definedName name="Total_Operating_Expenses">'[1]18. Projected Operating Costs'!$D$88</definedName>
    <definedName name="Total_Points">'[1]24. Instructions Scoring Sum'!$G$54</definedName>
    <definedName name="Total_Site_Acreage">'[1]7. Site Description'!$D$8</definedName>
    <definedName name="Total_Units">'[1]13. Unit Mix'!$F$133</definedName>
    <definedName name="Total60Voucher">'[1]13. Unit Mix'!$BG$68</definedName>
    <definedName name="TotalFundingSources">'[1]14. Funding Sources'!$P$46</definedName>
    <definedName name="Tribal_Name">'[1]4. Project Name &amp; Location'!$F$17</definedName>
    <definedName name="TypeOfControl">'[1]Dropdown Lists'!$L$2:$L$4</definedName>
    <definedName name="udrextdshnftjmfr6">MATCH(0.01,End_Bal,-1)+1</definedName>
    <definedName name="UM_Bathrooms_1">'[1]13. Unit Mix'!$F$18</definedName>
    <definedName name="UM_Bathrooms_10">'[1]13. Unit Mix'!$F$27</definedName>
    <definedName name="UM_Bathrooms_11">'[1]13. Unit Mix'!$F$28</definedName>
    <definedName name="UM_Bathrooms_12">'[1]13. Unit Mix'!$F$29</definedName>
    <definedName name="UM_Bathrooms_13">'[1]13. Unit Mix'!$F$30</definedName>
    <definedName name="UM_Bathrooms_14">'[1]13. Unit Mix'!$F$31</definedName>
    <definedName name="UM_Bathrooms_15">'[1]13. Unit Mix'!$F$32</definedName>
    <definedName name="UM_Bathrooms_16">'[1]13. Unit Mix'!$F$33</definedName>
    <definedName name="UM_Bathrooms_17">'[1]13. Unit Mix'!$F$34</definedName>
    <definedName name="UM_Bathrooms_18">'[1]13. Unit Mix'!$F$35</definedName>
    <definedName name="UM_Bathrooms_19">'[1]13. Unit Mix'!$F$36</definedName>
    <definedName name="UM_Bathrooms_2">'[1]13. Unit Mix'!$F$19</definedName>
    <definedName name="UM_Bathrooms_20">'[1]13. Unit Mix'!$F$37</definedName>
    <definedName name="UM_Bathrooms_21">'[1]13. Unit Mix'!$F$38</definedName>
    <definedName name="UM_Bathrooms_22">'[1]13. Unit Mix'!$F$39</definedName>
    <definedName name="UM_Bathrooms_23">'[1]13. Unit Mix'!$F$40</definedName>
    <definedName name="UM_Bathrooms_24">'[1]13. Unit Mix'!$F$41</definedName>
    <definedName name="UM_Bathrooms_25">'[1]13. Unit Mix'!$F$42</definedName>
    <definedName name="UM_Bathrooms_26">'[1]13. Unit Mix'!$F$43</definedName>
    <definedName name="UM_Bathrooms_27">'[1]13. Unit Mix'!$F$44</definedName>
    <definedName name="UM_Bathrooms_28">'[1]13. Unit Mix'!$F$45</definedName>
    <definedName name="UM_Bathrooms_29">'[1]13. Unit Mix'!$F$46</definedName>
    <definedName name="UM_Bathrooms_3">'[1]13. Unit Mix'!$F$20</definedName>
    <definedName name="UM_Bathrooms_30">'[1]13. Unit Mix'!$F$47</definedName>
    <definedName name="UM_Bathrooms_31">'[1]13. Unit Mix'!$F$48</definedName>
    <definedName name="UM_Bathrooms_32">'[1]13. Unit Mix'!$F$49</definedName>
    <definedName name="UM_Bathrooms_33">'[1]13. Unit Mix'!$F$50</definedName>
    <definedName name="UM_Bathrooms_34">'[1]13. Unit Mix'!$F$51</definedName>
    <definedName name="UM_Bathrooms_35">'[1]13. Unit Mix'!$F$52</definedName>
    <definedName name="UM_Bathrooms_36">'[1]13. Unit Mix'!$F$53</definedName>
    <definedName name="UM_Bathrooms_37">'[1]13. Unit Mix'!$F$54</definedName>
    <definedName name="UM_Bathrooms_38">'[1]13. Unit Mix'!$F$55</definedName>
    <definedName name="UM_Bathrooms_39">'[1]13. Unit Mix'!$F$56</definedName>
    <definedName name="UM_Bathrooms_4">'[1]13. Unit Mix'!$F$21</definedName>
    <definedName name="UM_Bathrooms_40">'[1]13. Unit Mix'!$F$57</definedName>
    <definedName name="UM_Bathrooms_41">'[1]13. Unit Mix'!$F$58</definedName>
    <definedName name="UM_Bathrooms_42">'[1]13. Unit Mix'!$F$59</definedName>
    <definedName name="UM_Bathrooms_43">'[1]13. Unit Mix'!$F$60</definedName>
    <definedName name="UM_Bathrooms_44">'[1]13. Unit Mix'!$F$61</definedName>
    <definedName name="UM_Bathrooms_45">'[1]13. Unit Mix'!$F$62</definedName>
    <definedName name="UM_Bathrooms_46">'[1]13. Unit Mix'!$F$63</definedName>
    <definedName name="UM_Bathrooms_47">'[1]13. Unit Mix'!$F$64</definedName>
    <definedName name="UM_Bathrooms_48">'[1]13. Unit Mix'!$F$65</definedName>
    <definedName name="UM_Bathrooms_49">'[1]13. Unit Mix'!$F$66</definedName>
    <definedName name="UM_Bathrooms_5">'[1]13. Unit Mix'!$F$22</definedName>
    <definedName name="UM_Bathrooms_50">'[1]13. Unit Mix'!$F$67</definedName>
    <definedName name="UM_Bathrooms_51">'[1]13. Unit Mix'!$E$98</definedName>
    <definedName name="UM_Bathrooms_52">'[1]13. Unit Mix'!$E$99</definedName>
    <definedName name="UM_Bathrooms_53">'[1]13. Unit Mix'!$E$100</definedName>
    <definedName name="UM_Bathrooms_54">'[1]13. Unit Mix'!$F$106</definedName>
    <definedName name="UM_Bathrooms_55">'[1]13. Unit Mix'!$F$107</definedName>
    <definedName name="UM_Bathrooms_56">'[1]13. Unit Mix'!$F$108</definedName>
    <definedName name="UM_Bathrooms_57">'[1]13. Unit Mix'!$F$109</definedName>
    <definedName name="UM_Bathrooms_58">'[1]13. Unit Mix'!$F$110</definedName>
    <definedName name="UM_Bathrooms_59">'[1]13. Unit Mix'!$F$111</definedName>
    <definedName name="UM_Bathrooms_6">'[1]13. Unit Mix'!$F$23</definedName>
    <definedName name="UM_Bathrooms_60">'[1]13. Unit Mix'!$F$112</definedName>
    <definedName name="UM_Bathrooms_61">'[1]13. Unit Mix'!$F$113</definedName>
    <definedName name="UM_Bathrooms_62">'[1]13. Unit Mix'!$F$114</definedName>
    <definedName name="UM_Bathrooms_63">'[1]13. Unit Mix'!$F$115</definedName>
    <definedName name="UM_Bathrooms_7">'[1]13. Unit Mix'!$F$24</definedName>
    <definedName name="UM_Bathrooms_8">'[1]13. Unit Mix'!$F$25</definedName>
    <definedName name="UM_Bathrooms_9">'[1]13. Unit Mix'!$F$26</definedName>
    <definedName name="Underground_Parking">'[1]12. Project &amp; Unit Amenities'!$D$25</definedName>
    <definedName name="Underground_Rent_Per_Year">'[1]12. Project &amp; Unit Amenities'!$L$23</definedName>
    <definedName name="Unit_Mix">'[1]13. Unit Mix'!$B$7</definedName>
    <definedName name="Universal_Design">'[1]33. Universal Design'!$B$6</definedName>
    <definedName name="Universal_Design_Points">'[1]24. Instructions Scoring Sum'!$G$40</definedName>
    <definedName name="Unusual_SC_4">'[1]16. Project Costs'!$K$51</definedName>
    <definedName name="Unusual_SC_Total">'[1]16. Project Costs'!$F$51</definedName>
    <definedName name="Unusual_Site_4">'[1]16. Project Costs'!$K$40</definedName>
    <definedName name="Unusual_Site_Total">'[1]16. Project Costs'!$F$40</definedName>
    <definedName name="Utilities_4">'[1]16. Project Costs'!$K$38</definedName>
    <definedName name="Utilities_Total">'[1]16. Project Costs'!$F$38</definedName>
    <definedName name="UtilityApplicanceType">'[1]Dropdown Lists'!$Q$2:$Q$11</definedName>
    <definedName name="UtilityTypes">'[1]Dropdown Lists'!$P$2:$P$4</definedName>
    <definedName name="Values_Entered">IF(Loan_Amount*Interest_Rate*Loan_Years*Loan_Start&gt;0,1,0)</definedName>
    <definedName name="Vehicle___Maintenace_Equipment_Operation___Repairs">'[1]18. Projected Operating Costs'!$D$48</definedName>
    <definedName name="Veterans?">'[2]Project Details'!$C$163</definedName>
    <definedName name="Veterans_Housing">'[1]31. Veterans Housing'!$B$6</definedName>
    <definedName name="Veterans_Housing_Points">'[1]24. Instructions Scoring Sum'!$G$38</definedName>
    <definedName name="VeteransNoOfUnits">'[2]Project Details'!$D$163</definedName>
    <definedName name="Vetersn_Housing_Points">'[1]24. Instructions Scoring Sum'!$G$38</definedName>
    <definedName name="Walking_Trails">'[1]12. Project &amp; Unit Amenities'!$J$36</definedName>
    <definedName name="Water">'[1]18. Projected Operating Costs'!$D$33</definedName>
    <definedName name="Water_Sewer_4">'[1]16. Project Costs'!$K$160</definedName>
    <definedName name="Water_Sewer_9">'[1]16. Project Costs'!$J$160</definedName>
    <definedName name="Water_Sewer_State">'[1]16. Project Costs'!$L$160</definedName>
    <definedName name="Water_Sewer_Total">'[1]16. Project Costs'!$F$160</definedName>
    <definedName name="WHEDA_App_Fees_4">'[1]16. Project Costs'!$K$69</definedName>
    <definedName name="WHEDA_App_Fees_Total">'[1]16. Project Costs'!$F$69</definedName>
    <definedName name="WHEDA_Commercial_Loan">'[1]1. Cover Sheet'!$B$4</definedName>
    <definedName name="WHEDA_Constr_Inspect_4">'[1]16. Project Costs'!$K$74</definedName>
    <definedName name="WHEDA_Constr_Inspect_Total">'[1]16. Project Costs'!$F$74</definedName>
    <definedName name="WHEDA_Constr_Loan_4">'[1]16. Project Costs'!$K$71</definedName>
    <definedName name="WHEDA_Constr_Loan_9">'[1]16. Project Costs'!$J$71</definedName>
    <definedName name="WHEDA_Constr_Loan_State">'[1]16. Project Costs'!$L$71</definedName>
    <definedName name="WHEDA_Constr_Loan_Total">'[1]16. Project Costs'!$F$71</definedName>
    <definedName name="WHEDA_Fees_Subtotal_Total">'[1]16. Project Costs'!$F$76</definedName>
    <definedName name="WHEDA_Legal_4">'[1]16. Project Costs'!$K$73</definedName>
    <definedName name="WHEDA_Legal_Total">'[1]16. Project Costs'!$F$73</definedName>
    <definedName name="WHEDA_Loan_Signature_Page">'[1]WHEDA Loan Signatures'!$B$6</definedName>
    <definedName name="WHEDA_Otehr_Finan_4">'[1]16. Project Costs'!$K$72</definedName>
    <definedName name="WHEDA_Otehr_Finan_9">'[1]16. Project Costs'!$J$72</definedName>
    <definedName name="WHEDA_Otehr_Finan_State">'[1]16. Project Costs'!$L$72</definedName>
    <definedName name="WHEDA_Otehr_Finan_Total">'[1]16. Project Costs'!$F$72</definedName>
    <definedName name="WHEDA_Perm_Loan_Total">'[1]16. Project Costs'!$F$106</definedName>
    <definedName name="WHEDA_Project_Number">[1]ProLink!$F$4</definedName>
    <definedName name="Will_this_project_be_receiving_project_based_federal_rental_assistance?">'[1]5. Project Description'!$D$15</definedName>
    <definedName name="Workforce_Housing_Communities">'[1]39. Workforce Housing'!$B$6</definedName>
    <definedName name="Workforce_Housing_Points">'[1]24. Instructions Scoring Sum'!$G$46</definedName>
    <definedName name="Workmen_s_Compensation">'[1]18. Projected Operating Costs'!$D$57</definedName>
    <definedName name="wrwerwerewrwer">IF(jojoishkjngfsfd,Header_Row+tetertertert,Header_Row)</definedName>
    <definedName name="Year_Built">'[1]7. Site Description'!$D$36</definedName>
    <definedName name="YesNo">'[1]Dropdown Lists'!$A$2:$A$3</definedName>
    <definedName name="ymymymymyu">DATE(YEAR(Loan_Start),MONTH(Loan_Start)+Payment_Number,DAY(Loan_Start))</definedName>
    <definedName name="yui7yuasewrsarf">IF(Loan_Amount*Interest_Rate*Loan_Years*Loan_Start&gt;0,1,0)</definedName>
    <definedName name="yyuyugyuygugyygu">IF(yui7yuasewrsarf,Header_Row+udrextdshnftjmfr6,Header_Row)</definedName>
    <definedName name="ZeroOneTwo">'[1]Dropdown Lists'!$B$2:$B$4</definedName>
    <definedName name="Zoning">'[1]9. Zoning'!$B$6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5" i="1" l="1"/>
  <c r="I135" i="1"/>
  <c r="J135" i="1"/>
  <c r="K135" i="1"/>
  <c r="L135" i="1"/>
  <c r="M135" i="1"/>
  <c r="N135" i="1"/>
  <c r="O135" i="1"/>
  <c r="P135" i="1"/>
  <c r="Q135" i="1"/>
  <c r="R135" i="1"/>
  <c r="S135" i="1"/>
  <c r="T135" i="1"/>
  <c r="U135" i="1"/>
  <c r="V135" i="1"/>
  <c r="W135" i="1"/>
  <c r="X135" i="1"/>
  <c r="Y135" i="1"/>
  <c r="Z135" i="1"/>
  <c r="AA135" i="1"/>
  <c r="AB135" i="1"/>
  <c r="AC135" i="1"/>
  <c r="AD135" i="1"/>
  <c r="AE135" i="1"/>
  <c r="AF135" i="1"/>
  <c r="AG135" i="1"/>
  <c r="AH135" i="1"/>
  <c r="AI135" i="1"/>
  <c r="AJ135" i="1"/>
  <c r="D193" i="1"/>
  <c r="D194" i="1"/>
  <c r="D195" i="1"/>
  <c r="D196" i="1"/>
  <c r="D197" i="1"/>
  <c r="G172" i="1"/>
  <c r="G169" i="1"/>
  <c r="G165" i="1"/>
  <c r="G161" i="1"/>
  <c r="G156" i="1"/>
  <c r="G155" i="1"/>
  <c r="G154" i="1"/>
  <c r="S127" i="1"/>
  <c r="S128" i="1"/>
  <c r="G92" i="1"/>
  <c r="G91" i="1"/>
  <c r="E34" i="1" l="1"/>
  <c r="E37" i="1"/>
  <c r="E38" i="1"/>
  <c r="E200" i="1" l="1"/>
  <c r="E65" i="1"/>
  <c r="E242" i="1"/>
  <c r="E241" i="1"/>
  <c r="E240" i="1"/>
  <c r="E239" i="1"/>
  <c r="E238" i="1"/>
  <c r="F231" i="1"/>
  <c r="C231" i="1"/>
  <c r="F230" i="1"/>
  <c r="C230" i="1"/>
  <c r="F229" i="1"/>
  <c r="C229" i="1"/>
  <c r="F228" i="1"/>
  <c r="C228" i="1"/>
  <c r="F227" i="1"/>
  <c r="C227" i="1"/>
  <c r="F226" i="1"/>
  <c r="C226" i="1"/>
  <c r="F225" i="1"/>
  <c r="C225" i="1"/>
  <c r="F222" i="1"/>
  <c r="C222" i="1"/>
  <c r="F221" i="1"/>
  <c r="C221" i="1"/>
  <c r="F220" i="1"/>
  <c r="C220" i="1"/>
  <c r="F219" i="1"/>
  <c r="C219" i="1"/>
  <c r="F218" i="1"/>
  <c r="C218" i="1"/>
  <c r="F217" i="1"/>
  <c r="C217" i="1"/>
  <c r="F216" i="1"/>
  <c r="C216" i="1"/>
  <c r="F214" i="1"/>
  <c r="C214" i="1"/>
  <c r="F213" i="1"/>
  <c r="C213" i="1"/>
  <c r="F212" i="1"/>
  <c r="C212" i="1"/>
  <c r="F211" i="1"/>
  <c r="C211" i="1"/>
  <c r="F210" i="1"/>
  <c r="C210" i="1"/>
  <c r="F209" i="1"/>
  <c r="C209" i="1"/>
  <c r="F208" i="1"/>
  <c r="C208" i="1"/>
  <c r="F207" i="1"/>
  <c r="C207" i="1"/>
  <c r="F206" i="1"/>
  <c r="C206" i="1"/>
  <c r="C205" i="1"/>
  <c r="AA203" i="1"/>
  <c r="AA224" i="1" s="1"/>
  <c r="AA234" i="1" s="1"/>
  <c r="O203" i="1"/>
  <c r="O224" i="1" s="1"/>
  <c r="O234" i="1" s="1"/>
  <c r="G198" i="1"/>
  <c r="E198" i="1" s="1"/>
  <c r="G196" i="1"/>
  <c r="G195"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AN190" i="1"/>
  <c r="AM190" i="1"/>
  <c r="AL190" i="1"/>
  <c r="AO190" i="1" s="1"/>
  <c r="D190" i="1"/>
  <c r="C190" i="1"/>
  <c r="AN189" i="1"/>
  <c r="AM189" i="1"/>
  <c r="AL189" i="1"/>
  <c r="AO189" i="1" s="1"/>
  <c r="D189" i="1"/>
  <c r="C189" i="1"/>
  <c r="AN188" i="1"/>
  <c r="AM188" i="1"/>
  <c r="AL188" i="1"/>
  <c r="AO188" i="1" s="1"/>
  <c r="D188" i="1"/>
  <c r="C188" i="1"/>
  <c r="C187" i="1"/>
  <c r="C197" i="1" s="1"/>
  <c r="C186" i="1"/>
  <c r="C196" i="1" s="1"/>
  <c r="C185" i="1"/>
  <c r="C195" i="1" s="1"/>
  <c r="E233" i="1"/>
  <c r="C184" i="1"/>
  <c r="C194" i="1" s="1"/>
  <c r="E252" i="1"/>
  <c r="C183" i="1"/>
  <c r="C193" i="1" s="1"/>
  <c r="AJ182" i="1"/>
  <c r="AJ203" i="1" s="1"/>
  <c r="AJ224" i="1" s="1"/>
  <c r="AJ234" i="1" s="1"/>
  <c r="AI182" i="1"/>
  <c r="AI203" i="1" s="1"/>
  <c r="AI224" i="1" s="1"/>
  <c r="AI234" i="1" s="1"/>
  <c r="AH182" i="1"/>
  <c r="AH203" i="1" s="1"/>
  <c r="AH224" i="1" s="1"/>
  <c r="AH234" i="1" s="1"/>
  <c r="AG182" i="1"/>
  <c r="AG203" i="1" s="1"/>
  <c r="AG224" i="1" s="1"/>
  <c r="AG234" i="1" s="1"/>
  <c r="AF182" i="1"/>
  <c r="AF203" i="1" s="1"/>
  <c r="AF224" i="1" s="1"/>
  <c r="AF234" i="1" s="1"/>
  <c r="AE182" i="1"/>
  <c r="AE203" i="1" s="1"/>
  <c r="AE224" i="1" s="1"/>
  <c r="AE234" i="1" s="1"/>
  <c r="AD182" i="1"/>
  <c r="AD203" i="1" s="1"/>
  <c r="AD224" i="1" s="1"/>
  <c r="AD234" i="1" s="1"/>
  <c r="AC182" i="1"/>
  <c r="AC203" i="1" s="1"/>
  <c r="AC224" i="1" s="1"/>
  <c r="AC234" i="1" s="1"/>
  <c r="AB182" i="1"/>
  <c r="AB203" i="1" s="1"/>
  <c r="AB224" i="1" s="1"/>
  <c r="AB234" i="1" s="1"/>
  <c r="AA182" i="1"/>
  <c r="Z182" i="1"/>
  <c r="Z203" i="1" s="1"/>
  <c r="Z224" i="1" s="1"/>
  <c r="Z234" i="1" s="1"/>
  <c r="Y182" i="1"/>
  <c r="Y203" i="1" s="1"/>
  <c r="Y224" i="1" s="1"/>
  <c r="Y234" i="1" s="1"/>
  <c r="X182" i="1"/>
  <c r="X203" i="1" s="1"/>
  <c r="X224" i="1" s="1"/>
  <c r="X234" i="1" s="1"/>
  <c r="W182" i="1"/>
  <c r="W203" i="1" s="1"/>
  <c r="W224" i="1" s="1"/>
  <c r="W234" i="1" s="1"/>
  <c r="V182" i="1"/>
  <c r="V203" i="1" s="1"/>
  <c r="V224" i="1" s="1"/>
  <c r="V234" i="1" s="1"/>
  <c r="U182" i="1"/>
  <c r="U203" i="1" s="1"/>
  <c r="U224" i="1" s="1"/>
  <c r="U234" i="1" s="1"/>
  <c r="T182" i="1"/>
  <c r="T203" i="1" s="1"/>
  <c r="T224" i="1" s="1"/>
  <c r="T234" i="1" s="1"/>
  <c r="S182" i="1"/>
  <c r="S203" i="1" s="1"/>
  <c r="S224" i="1" s="1"/>
  <c r="S234" i="1" s="1"/>
  <c r="R182" i="1"/>
  <c r="R203" i="1" s="1"/>
  <c r="R224" i="1" s="1"/>
  <c r="R234" i="1" s="1"/>
  <c r="Q182" i="1"/>
  <c r="Q203" i="1" s="1"/>
  <c r="Q224" i="1" s="1"/>
  <c r="Q234" i="1" s="1"/>
  <c r="P182" i="1"/>
  <c r="P203" i="1" s="1"/>
  <c r="P224" i="1" s="1"/>
  <c r="P234" i="1" s="1"/>
  <c r="O182" i="1"/>
  <c r="N182" i="1"/>
  <c r="N203" i="1" s="1"/>
  <c r="N224" i="1" s="1"/>
  <c r="N234" i="1" s="1"/>
  <c r="M182" i="1"/>
  <c r="M203" i="1" s="1"/>
  <c r="M224" i="1" s="1"/>
  <c r="M234" i="1" s="1"/>
  <c r="L182" i="1"/>
  <c r="L203" i="1" s="1"/>
  <c r="L224" i="1" s="1"/>
  <c r="L234" i="1" s="1"/>
  <c r="K182" i="1"/>
  <c r="K203" i="1" s="1"/>
  <c r="K224" i="1" s="1"/>
  <c r="K234" i="1" s="1"/>
  <c r="J182" i="1"/>
  <c r="J203" i="1" s="1"/>
  <c r="J224" i="1" s="1"/>
  <c r="J234" i="1" s="1"/>
  <c r="I182" i="1"/>
  <c r="I203" i="1" s="1"/>
  <c r="I224" i="1" s="1"/>
  <c r="I234" i="1" s="1"/>
  <c r="H182" i="1"/>
  <c r="H203" i="1" s="1"/>
  <c r="H224" i="1" s="1"/>
  <c r="H234" i="1" s="1"/>
  <c r="G182" i="1"/>
  <c r="G203" i="1" s="1"/>
  <c r="G224" i="1" s="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K175" i="1"/>
  <c r="J175" i="1"/>
  <c r="I175" i="1"/>
  <c r="H175" i="1"/>
  <c r="G175" i="1"/>
  <c r="F174" i="1"/>
  <c r="D174" i="1"/>
  <c r="C174" i="1"/>
  <c r="F173" i="1"/>
  <c r="D173" i="1"/>
  <c r="F172" i="1"/>
  <c r="D172" i="1"/>
  <c r="C172" i="1"/>
  <c r="F171" i="1"/>
  <c r="D171" i="1"/>
  <c r="C171" i="1"/>
  <c r="E175" i="1"/>
  <c r="D170" i="1"/>
  <c r="C170" i="1"/>
  <c r="F169" i="1"/>
  <c r="D169" i="1"/>
  <c r="C169"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K166" i="1"/>
  <c r="J166" i="1"/>
  <c r="I166" i="1"/>
  <c r="H166" i="1"/>
  <c r="F165" i="1"/>
  <c r="C165" i="1" a="1"/>
  <c r="C165" i="1" s="1"/>
  <c r="F164" i="1"/>
  <c r="C164" i="1" a="1"/>
  <c r="C164" i="1" s="1"/>
  <c r="F163" i="1"/>
  <c r="C163" i="1" a="1"/>
  <c r="C163" i="1" s="1"/>
  <c r="F162" i="1"/>
  <c r="C162" i="1" a="1"/>
  <c r="C162" i="1" s="1"/>
  <c r="F161" i="1"/>
  <c r="C161" i="1" a="1"/>
  <c r="C161" i="1" s="1"/>
  <c r="F160" i="1"/>
  <c r="C160" i="1" a="1"/>
  <c r="C160" i="1" s="1"/>
  <c r="F159" i="1"/>
  <c r="C159" i="1" a="1"/>
  <c r="C159" i="1" s="1"/>
  <c r="F158" i="1"/>
  <c r="C158" i="1" a="1"/>
  <c r="C158" i="1" s="1"/>
  <c r="F157" i="1"/>
  <c r="C157" i="1" a="1"/>
  <c r="C157" i="1" s="1"/>
  <c r="F156" i="1"/>
  <c r="C156" i="1" a="1"/>
  <c r="C156" i="1" s="1"/>
  <c r="F155" i="1"/>
  <c r="C155" i="1"/>
  <c r="C154" i="1"/>
  <c r="F153" i="1"/>
  <c r="C153" i="1"/>
  <c r="AJ151" i="1"/>
  <c r="AE151" i="1"/>
  <c r="AD151" i="1"/>
  <c r="X151" i="1"/>
  <c r="S151" i="1"/>
  <c r="R151" i="1"/>
  <c r="L151" i="1"/>
  <c r="AJ150" i="1"/>
  <c r="AI150" i="1"/>
  <c r="AI151" i="1" s="1"/>
  <c r="AH150" i="1"/>
  <c r="AH151" i="1" s="1"/>
  <c r="AG150" i="1"/>
  <c r="AG151" i="1" s="1"/>
  <c r="AF150" i="1"/>
  <c r="AF151" i="1" s="1"/>
  <c r="AE150" i="1"/>
  <c r="AD150" i="1"/>
  <c r="AC150" i="1"/>
  <c r="AB150" i="1"/>
  <c r="AA150" i="1"/>
  <c r="AA151" i="1" s="1"/>
  <c r="Z150" i="1"/>
  <c r="Z151" i="1" s="1"/>
  <c r="Y150" i="1"/>
  <c r="Y151" i="1" s="1"/>
  <c r="X150" i="1"/>
  <c r="W150" i="1"/>
  <c r="W151" i="1" s="1"/>
  <c r="V150" i="1"/>
  <c r="V151" i="1" s="1"/>
  <c r="U150" i="1"/>
  <c r="U151" i="1" s="1"/>
  <c r="T150" i="1"/>
  <c r="T151" i="1" s="1"/>
  <c r="S150" i="1"/>
  <c r="R150" i="1"/>
  <c r="Q150" i="1"/>
  <c r="P150" i="1"/>
  <c r="O150" i="1"/>
  <c r="O151" i="1" s="1"/>
  <c r="N150" i="1"/>
  <c r="N151" i="1" s="1"/>
  <c r="M150" i="1"/>
  <c r="M151" i="1" s="1"/>
  <c r="L150" i="1"/>
  <c r="K150" i="1"/>
  <c r="K151" i="1" s="1"/>
  <c r="J150" i="1"/>
  <c r="J151" i="1" s="1"/>
  <c r="I150" i="1"/>
  <c r="I151" i="1" s="1"/>
  <c r="H150" i="1"/>
  <c r="H151" i="1" s="1"/>
  <c r="G150" i="1"/>
  <c r="E149" i="1"/>
  <c r="F149" i="1" s="1"/>
  <c r="C149" i="1"/>
  <c r="E148" i="1"/>
  <c r="F148" i="1" s="1"/>
  <c r="C148" i="1"/>
  <c r="E147" i="1"/>
  <c r="F147" i="1" s="1"/>
  <c r="C147" i="1"/>
  <c r="E146" i="1"/>
  <c r="F146" i="1" s="1"/>
  <c r="C146" i="1"/>
  <c r="E145" i="1"/>
  <c r="F145" i="1" s="1"/>
  <c r="C145" i="1"/>
  <c r="E144" i="1"/>
  <c r="F144" i="1" s="1"/>
  <c r="C144" i="1"/>
  <c r="AJ142" i="1"/>
  <c r="AI142" i="1"/>
  <c r="AH142" i="1"/>
  <c r="AG142" i="1"/>
  <c r="AF142" i="1"/>
  <c r="AE142" i="1"/>
  <c r="AD142" i="1"/>
  <c r="AC142" i="1"/>
  <c r="AC151" i="1" s="1"/>
  <c r="AB142" i="1"/>
  <c r="AB151" i="1" s="1"/>
  <c r="AA142" i="1"/>
  <c r="Z142" i="1"/>
  <c r="Y142" i="1"/>
  <c r="X142" i="1"/>
  <c r="W142" i="1"/>
  <c r="V142" i="1"/>
  <c r="U142" i="1"/>
  <c r="T142" i="1"/>
  <c r="S142" i="1"/>
  <c r="R142" i="1"/>
  <c r="Q142" i="1"/>
  <c r="Q151" i="1" s="1"/>
  <c r="P142" i="1"/>
  <c r="P151" i="1" s="1"/>
  <c r="O142" i="1"/>
  <c r="N142" i="1"/>
  <c r="M142" i="1"/>
  <c r="L142" i="1"/>
  <c r="K142" i="1"/>
  <c r="J142" i="1"/>
  <c r="I142" i="1"/>
  <c r="H142" i="1"/>
  <c r="G141" i="1"/>
  <c r="F141" i="1" s="1"/>
  <c r="C141" i="1" a="1"/>
  <c r="C141" i="1" s="1"/>
  <c r="G140" i="1"/>
  <c r="F140" i="1"/>
  <c r="C140" i="1" a="1"/>
  <c r="C140" i="1" s="1"/>
  <c r="G139" i="1"/>
  <c r="C139" i="1" a="1"/>
  <c r="C139" i="1" s="1"/>
  <c r="G138" i="1"/>
  <c r="F138" i="1" s="1"/>
  <c r="E142" i="1"/>
  <c r="C138" i="1" a="1"/>
  <c r="C138" i="1" s="1"/>
  <c r="G135" i="1"/>
  <c r="E134" i="1"/>
  <c r="F134" i="1" s="1"/>
  <c r="C134" i="1" a="1"/>
  <c r="C134" i="1" s="1"/>
  <c r="F133" i="1"/>
  <c r="C133" i="1" a="1"/>
  <c r="C133" i="1" s="1"/>
  <c r="F132" i="1"/>
  <c r="C132" i="1" a="1"/>
  <c r="C132" i="1" s="1"/>
  <c r="F131" i="1"/>
  <c r="C131" i="1" a="1"/>
  <c r="C131" i="1" s="1"/>
  <c r="F130" i="1"/>
  <c r="C130" i="1" a="1"/>
  <c r="C130" i="1" s="1"/>
  <c r="F129" i="1"/>
  <c r="C129" i="1" a="1"/>
  <c r="C129" i="1" s="1"/>
  <c r="F128" i="1"/>
  <c r="C128" i="1" a="1"/>
  <c r="C128" i="1" s="1"/>
  <c r="F127" i="1"/>
  <c r="C127" i="1" a="1"/>
  <c r="C127" i="1" s="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4" i="1"/>
  <c r="C124" i="1" a="1"/>
  <c r="C124" i="1" s="1"/>
  <c r="G123" i="1"/>
  <c r="C123" i="1" a="1"/>
  <c r="C123" i="1" s="1"/>
  <c r="G122" i="1"/>
  <c r="F122" i="1" s="1"/>
  <c r="C121" i="1" a="1"/>
  <c r="C121" i="1" s="1"/>
  <c r="AJ119" i="1"/>
  <c r="AI119" i="1"/>
  <c r="AH119" i="1"/>
  <c r="AG119" i="1"/>
  <c r="AF119" i="1"/>
  <c r="AE119" i="1"/>
  <c r="AD119" i="1"/>
  <c r="AC119" i="1"/>
  <c r="AB119" i="1"/>
  <c r="AA119" i="1"/>
  <c r="Z119" i="1"/>
  <c r="Y119" i="1"/>
  <c r="X119" i="1"/>
  <c r="W119" i="1"/>
  <c r="V119" i="1"/>
  <c r="U119" i="1"/>
  <c r="T119" i="1"/>
  <c r="S119" i="1"/>
  <c r="R119" i="1"/>
  <c r="Q119" i="1"/>
  <c r="P119" i="1"/>
  <c r="O119" i="1"/>
  <c r="N119" i="1"/>
  <c r="M119" i="1"/>
  <c r="L119" i="1"/>
  <c r="K119" i="1"/>
  <c r="J119" i="1"/>
  <c r="I119" i="1"/>
  <c r="H119" i="1"/>
  <c r="A119" i="1"/>
  <c r="G118" i="1"/>
  <c r="F118" i="1"/>
  <c r="C118" i="1" a="1"/>
  <c r="C118" i="1" s="1"/>
  <c r="A118" i="1"/>
  <c r="G117" i="1"/>
  <c r="F117" i="1" s="1"/>
  <c r="C117" i="1" a="1"/>
  <c r="C117" i="1" s="1"/>
  <c r="G116" i="1"/>
  <c r="C116" i="1" a="1"/>
  <c r="C116" i="1" s="1"/>
  <c r="F115" i="1"/>
  <c r="C115" i="1" a="1"/>
  <c r="C115" i="1" s="1"/>
  <c r="G114" i="1"/>
  <c r="F114" i="1" s="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1" i="1"/>
  <c r="C111" i="1" a="1"/>
  <c r="C111" i="1" s="1"/>
  <c r="G110" i="1"/>
  <c r="C110" i="1" a="1"/>
  <c r="C110" i="1" s="1"/>
  <c r="G109" i="1"/>
  <c r="F109" i="1" s="1"/>
  <c r="C109" i="1" a="1"/>
  <c r="C109" i="1" s="1"/>
  <c r="G108" i="1"/>
  <c r="F108" i="1" s="1"/>
  <c r="C108" i="1" a="1"/>
  <c r="C108" i="1" s="1"/>
  <c r="C107" i="1" a="1"/>
  <c r="C107" i="1" s="1"/>
  <c r="C106" i="1" a="1"/>
  <c r="C106" i="1" s="1"/>
  <c r="C105" i="1" a="1"/>
  <c r="C105" i="1" s="1"/>
  <c r="G104" i="1"/>
  <c r="F104" i="1" s="1"/>
  <c r="C104" i="1" a="1"/>
  <c r="C104" i="1" s="1"/>
  <c r="G103" i="1"/>
  <c r="F103" i="1" s="1"/>
  <c r="C103" i="1" a="1"/>
  <c r="C103" i="1" s="1"/>
  <c r="F99" i="1"/>
  <c r="C99" i="1" a="1"/>
  <c r="C99" i="1" s="1"/>
  <c r="C98" i="1" a="1"/>
  <c r="C98" i="1" s="1"/>
  <c r="C97" i="1" a="1"/>
  <c r="C97" i="1" s="1"/>
  <c r="F96" i="1"/>
  <c r="C96" i="1" a="1"/>
  <c r="C96" i="1" s="1"/>
  <c r="F95" i="1"/>
  <c r="C95" i="1" a="1"/>
  <c r="C95" i="1" s="1"/>
  <c r="G94" i="1"/>
  <c r="C94" i="1" a="1"/>
  <c r="C94" i="1" s="1"/>
  <c r="F93" i="1"/>
  <c r="C93" i="1" a="1"/>
  <c r="C93" i="1" s="1"/>
  <c r="F92" i="1"/>
  <c r="C92" i="1" a="1"/>
  <c r="C92" i="1" s="1"/>
  <c r="C91" i="1" a="1"/>
  <c r="C91" i="1" s="1"/>
  <c r="C90" i="1" a="1"/>
  <c r="C90" i="1" s="1"/>
  <c r="G87" i="1"/>
  <c r="F87" i="1" s="1"/>
  <c r="C87" i="1" a="1"/>
  <c r="C87" i="1" s="1"/>
  <c r="F86" i="1"/>
  <c r="C86" i="1" a="1"/>
  <c r="C86" i="1" s="1"/>
  <c r="F85" i="1"/>
  <c r="C85" i="1" a="1"/>
  <c r="C85" i="1" s="1"/>
  <c r="F84" i="1"/>
  <c r="C84" i="1" a="1"/>
  <c r="C84" i="1" s="1"/>
  <c r="C83" i="1"/>
  <c r="F82" i="1"/>
  <c r="C82" i="1" a="1"/>
  <c r="C82" i="1" s="1"/>
  <c r="F81" i="1"/>
  <c r="C81" i="1" a="1"/>
  <c r="C81" i="1" s="1"/>
  <c r="G80" i="1"/>
  <c r="E88" i="1"/>
  <c r="C80" i="1" a="1"/>
  <c r="C80" i="1" s="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E78" i="1"/>
  <c r="C77" i="1"/>
  <c r="C77" i="1" a="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E74" i="1"/>
  <c r="F74" i="1" s="1"/>
  <c r="C74" i="1" a="1"/>
  <c r="C74" i="1" s="1"/>
  <c r="E73" i="1"/>
  <c r="F73" i="1" s="1"/>
  <c r="C73" i="1" a="1"/>
  <c r="C73" i="1" s="1"/>
  <c r="E72" i="1"/>
  <c r="F72" i="1" s="1"/>
  <c r="C72" i="1" a="1"/>
  <c r="C72" i="1" s="1"/>
  <c r="G71" i="1"/>
  <c r="F71" i="1" s="1"/>
  <c r="C71" i="1" a="1"/>
  <c r="C71" i="1" s="1"/>
  <c r="G70" i="1"/>
  <c r="F70" i="1" s="1"/>
  <c r="C70" i="1" a="1"/>
  <c r="C70" i="1" s="1"/>
  <c r="E69" i="1"/>
  <c r="F69" i="1" s="1"/>
  <c r="C69" i="1" a="1"/>
  <c r="C69" i="1" s="1"/>
  <c r="E68" i="1"/>
  <c r="F68" i="1" s="1"/>
  <c r="C68" i="1" a="1"/>
  <c r="C68" i="1" s="1"/>
  <c r="AJ65" i="1"/>
  <c r="AI65" i="1"/>
  <c r="AH65" i="1"/>
  <c r="AG65" i="1"/>
  <c r="AF65" i="1"/>
  <c r="AE65" i="1"/>
  <c r="AD65" i="1"/>
  <c r="AC65" i="1"/>
  <c r="AB65" i="1"/>
  <c r="AA65" i="1"/>
  <c r="Z65" i="1"/>
  <c r="Y65" i="1"/>
  <c r="X65" i="1"/>
  <c r="C64" i="1" a="1"/>
  <c r="C64" i="1" s="1"/>
  <c r="C63" i="1" a="1"/>
  <c r="C63" i="1" s="1"/>
  <c r="AJ60" i="1"/>
  <c r="AI60" i="1"/>
  <c r="AH60" i="1"/>
  <c r="AG60" i="1"/>
  <c r="AF60" i="1"/>
  <c r="AE60" i="1"/>
  <c r="AD60" i="1"/>
  <c r="AC60" i="1"/>
  <c r="AB60" i="1"/>
  <c r="AA60" i="1"/>
  <c r="Z60" i="1"/>
  <c r="A60" i="1"/>
  <c r="F58" i="1"/>
  <c r="C57" i="1" a="1"/>
  <c r="C57" i="1" s="1"/>
  <c r="A57" i="1"/>
  <c r="C56" i="1" a="1"/>
  <c r="C56" i="1" s="1"/>
  <c r="A56" i="1"/>
  <c r="C55" i="1" a="1"/>
  <c r="C55" i="1" s="1"/>
  <c r="A55" i="1"/>
  <c r="E60" i="1"/>
  <c r="C54" i="1" a="1"/>
  <c r="C54" i="1" s="1"/>
  <c r="A54" i="1"/>
  <c r="A53"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A52" i="1"/>
  <c r="E51" i="1"/>
  <c r="C51" i="1" a="1"/>
  <c r="C51" i="1" s="1"/>
  <c r="A51" i="1"/>
  <c r="E50" i="1"/>
  <c r="F50" i="1" s="1"/>
  <c r="C50" i="1" a="1"/>
  <c r="C50" i="1" s="1"/>
  <c r="E49" i="1"/>
  <c r="F49" i="1" s="1"/>
  <c r="C49" i="1" a="1"/>
  <c r="C49" i="1" s="1"/>
  <c r="A49" i="1"/>
  <c r="F48" i="1"/>
  <c r="C48" i="1" a="1"/>
  <c r="C48" i="1" s="1"/>
  <c r="A48" i="1"/>
  <c r="E47" i="1"/>
  <c r="F47" i="1" s="1"/>
  <c r="C47" i="1" a="1"/>
  <c r="C47" i="1" s="1"/>
  <c r="E46" i="1"/>
  <c r="F46" i="1" s="1"/>
  <c r="C46" i="1" a="1"/>
  <c r="C46" i="1" s="1"/>
  <c r="F45" i="1"/>
  <c r="C45" i="1" a="1"/>
  <c r="C45" i="1" s="1"/>
  <c r="A45" i="1"/>
  <c r="F44" i="1"/>
  <c r="C44" i="1" a="1"/>
  <c r="C44" i="1" s="1"/>
  <c r="A44" i="1"/>
  <c r="A43" i="1"/>
  <c r="A42" i="1"/>
  <c r="E41" i="1"/>
  <c r="F41" i="1" s="1"/>
  <c r="C41" i="1" a="1"/>
  <c r="C41" i="1" s="1"/>
  <c r="E40" i="1"/>
  <c r="F40" i="1" s="1"/>
  <c r="C40" i="1" a="1"/>
  <c r="C40" i="1" s="1"/>
  <c r="E39" i="1"/>
  <c r="F39" i="1" s="1"/>
  <c r="C39" i="1" a="1"/>
  <c r="C39" i="1" s="1"/>
  <c r="F38" i="1"/>
  <c r="C38" i="1" a="1"/>
  <c r="C38" i="1" s="1"/>
  <c r="C37" i="1" a="1"/>
  <c r="C37" i="1" s="1"/>
  <c r="C36" i="1" a="1"/>
  <c r="C36" i="1" s="1"/>
  <c r="A36" i="1"/>
  <c r="A35" i="1"/>
  <c r="A34" i="1"/>
  <c r="C33" i="1" a="1"/>
  <c r="C33" i="1" s="1"/>
  <c r="A33" i="1"/>
  <c r="C32" i="1" a="1"/>
  <c r="C32" i="1" s="1"/>
  <c r="A32" i="1"/>
  <c r="C31" i="1" a="1"/>
  <c r="C31" i="1" s="1"/>
  <c r="A31" i="1"/>
  <c r="C30" i="1" a="1"/>
  <c r="C30" i="1" s="1"/>
  <c r="C29" i="1" a="1"/>
  <c r="C29" i="1" s="1"/>
  <c r="C28" i="1" a="1"/>
  <c r="C28" i="1" s="1"/>
  <c r="A28" i="1"/>
  <c r="C27" i="1" a="1"/>
  <c r="C27" i="1" s="1"/>
  <c r="A27" i="1"/>
  <c r="A26" i="1"/>
  <c r="A25"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A24" i="1"/>
  <c r="F23" i="1"/>
  <c r="C23" i="1" a="1"/>
  <c r="C23" i="1" s="1"/>
  <c r="A23" i="1"/>
  <c r="G22" i="1"/>
  <c r="F22" i="1" s="1"/>
  <c r="C22" i="1" a="1"/>
  <c r="C22" i="1" s="1"/>
  <c r="A22" i="1"/>
  <c r="E24" i="1"/>
  <c r="C21" i="1" a="1"/>
  <c r="C21" i="1" s="1"/>
  <c r="A21" i="1"/>
  <c r="G20" i="1"/>
  <c r="F20" i="1"/>
  <c r="C20" i="1" a="1"/>
  <c r="C20" i="1" s="1"/>
  <c r="A20" i="1"/>
  <c r="A19" i="1"/>
  <c r="A18" i="1"/>
  <c r="AJ17" i="1"/>
  <c r="AJ250" i="1" s="1"/>
  <c r="AI17" i="1"/>
  <c r="AI250" i="1" s="1"/>
  <c r="AH17" i="1"/>
  <c r="AH250" i="1" s="1"/>
  <c r="AG17" i="1"/>
  <c r="AG250" i="1" s="1"/>
  <c r="AF17" i="1"/>
  <c r="AF250" i="1" s="1"/>
  <c r="AE17" i="1"/>
  <c r="AE250" i="1" s="1"/>
  <c r="AD17" i="1"/>
  <c r="AD250" i="1" s="1"/>
  <c r="AC17" i="1"/>
  <c r="AC250" i="1" s="1"/>
  <c r="AB17" i="1"/>
  <c r="AB250" i="1" s="1"/>
  <c r="AA17" i="1"/>
  <c r="AA250" i="1" s="1"/>
  <c r="Z17" i="1"/>
  <c r="Z250" i="1" s="1"/>
  <c r="Y17" i="1"/>
  <c r="Y250" i="1" s="1"/>
  <c r="X17" i="1"/>
  <c r="X250" i="1" s="1"/>
  <c r="W17" i="1"/>
  <c r="W250" i="1" s="1"/>
  <c r="V17" i="1"/>
  <c r="V250" i="1" s="1"/>
  <c r="U17" i="1"/>
  <c r="U250" i="1" s="1"/>
  <c r="T17" i="1"/>
  <c r="T250" i="1" s="1"/>
  <c r="S17" i="1"/>
  <c r="S250" i="1" s="1"/>
  <c r="R17" i="1"/>
  <c r="R250" i="1" s="1"/>
  <c r="Q17" i="1"/>
  <c r="Q250" i="1" s="1"/>
  <c r="P17" i="1"/>
  <c r="P250" i="1" s="1"/>
  <c r="O17" i="1"/>
  <c r="O250" i="1" s="1"/>
  <c r="N17" i="1"/>
  <c r="N250" i="1" s="1"/>
  <c r="M17" i="1"/>
  <c r="M250" i="1" s="1"/>
  <c r="L17" i="1"/>
  <c r="L250" i="1" s="1"/>
  <c r="K17" i="1"/>
  <c r="K250" i="1" s="1"/>
  <c r="J17" i="1"/>
  <c r="J250" i="1" s="1"/>
  <c r="I17" i="1"/>
  <c r="I250" i="1" s="1"/>
  <c r="H17" i="1"/>
  <c r="H250" i="1" s="1"/>
  <c r="G17" i="1"/>
  <c r="G250" i="1" s="1"/>
  <c r="A17" i="1"/>
  <c r="A16" i="1"/>
  <c r="A15" i="1"/>
  <c r="X14" i="1"/>
  <c r="X59" i="1" s="1"/>
  <c r="X60" i="1" s="1"/>
  <c r="A14" i="1"/>
  <c r="AI13" i="1"/>
  <c r="AH13" i="1"/>
  <c r="AE13" i="1"/>
  <c r="AC13" i="1"/>
  <c r="W13" i="1"/>
  <c r="V13" i="1"/>
  <c r="S13" i="1"/>
  <c r="Q13" i="1"/>
  <c r="K13" i="1"/>
  <c r="J13" i="1"/>
  <c r="G13" i="1"/>
  <c r="A13" i="1"/>
  <c r="A12" i="1"/>
  <c r="A11" i="1"/>
  <c r="AE14" i="1"/>
  <c r="Z13" i="1"/>
  <c r="A10" i="1"/>
  <c r="A9" i="1"/>
  <c r="A8" i="1"/>
  <c r="A7" i="1"/>
  <c r="A6" i="1"/>
  <c r="O5" i="1"/>
  <c r="N5" i="1"/>
  <c r="M5" i="1"/>
  <c r="L5" i="1"/>
  <c r="K5" i="1"/>
  <c r="J5" i="1"/>
  <c r="I5" i="1"/>
  <c r="H5" i="1"/>
  <c r="F5" i="1"/>
  <c r="E5" i="1"/>
  <c r="D5" i="1"/>
  <c r="C5" i="1"/>
  <c r="A5" i="1"/>
  <c r="E2" i="1"/>
  <c r="C2" i="1"/>
  <c r="E135" i="1" l="1"/>
  <c r="E52" i="1"/>
  <c r="E42" i="1"/>
  <c r="F37" i="1"/>
  <c r="E100" i="1"/>
  <c r="F75" i="1"/>
  <c r="AE33" i="1"/>
  <c r="F52" i="1"/>
  <c r="AE98" i="1"/>
  <c r="AE30" i="1"/>
  <c r="AE97" i="1"/>
  <c r="AE100" i="1" s="1"/>
  <c r="AE31" i="1"/>
  <c r="AE36" i="1"/>
  <c r="AE42" i="1" s="1"/>
  <c r="AC197" i="1"/>
  <c r="Z196" i="1"/>
  <c r="AI195" i="1"/>
  <c r="W195" i="1"/>
  <c r="AF194" i="1"/>
  <c r="AC193" i="1"/>
  <c r="AB197" i="1"/>
  <c r="Y196" i="1"/>
  <c r="AH195" i="1"/>
  <c r="AE194" i="1"/>
  <c r="AB193" i="1"/>
  <c r="AA197" i="1"/>
  <c r="AJ196" i="1"/>
  <c r="X196" i="1"/>
  <c r="AG195" i="1"/>
  <c r="AD194" i="1"/>
  <c r="AA193" i="1"/>
  <c r="Z197" i="1"/>
  <c r="AI196" i="1"/>
  <c r="W196" i="1"/>
  <c r="AF195" i="1"/>
  <c r="AC194" i="1"/>
  <c r="Z193" i="1"/>
  <c r="Y197" i="1"/>
  <c r="AH196" i="1"/>
  <c r="AE195" i="1"/>
  <c r="AB194" i="1"/>
  <c r="Y193" i="1"/>
  <c r="AJ197" i="1"/>
  <c r="X197" i="1"/>
  <c r="AG196" i="1"/>
  <c r="AD195" i="1"/>
  <c r="AA194" i="1"/>
  <c r="AJ193" i="1"/>
  <c r="X193" i="1"/>
  <c r="AI197" i="1"/>
  <c r="W197" i="1"/>
  <c r="AF196" i="1"/>
  <c r="AC195" i="1"/>
  <c r="Z194" i="1"/>
  <c r="AI193" i="1"/>
  <c r="W193" i="1"/>
  <c r="AH197" i="1"/>
  <c r="AE196" i="1"/>
  <c r="AB195" i="1"/>
  <c r="Y194" i="1"/>
  <c r="AH193" i="1"/>
  <c r="AG197" i="1"/>
  <c r="AD196" i="1"/>
  <c r="AA195" i="1"/>
  <c r="AJ194" i="1"/>
  <c r="X194" i="1"/>
  <c r="AG193" i="1"/>
  <c r="AF197" i="1"/>
  <c r="AC196" i="1"/>
  <c r="Z195" i="1"/>
  <c r="AI194" i="1"/>
  <c r="W194" i="1"/>
  <c r="AF193" i="1"/>
  <c r="AE197" i="1"/>
  <c r="AB196" i="1"/>
  <c r="Y195" i="1"/>
  <c r="AH194" i="1"/>
  <c r="AE193" i="1"/>
  <c r="AD197" i="1"/>
  <c r="AA196" i="1"/>
  <c r="AJ195" i="1"/>
  <c r="X195" i="1"/>
  <c r="AG194" i="1"/>
  <c r="AD193" i="1"/>
  <c r="O13" i="1"/>
  <c r="AA13" i="1"/>
  <c r="T14" i="1"/>
  <c r="T97" i="1" s="1"/>
  <c r="AF14" i="1"/>
  <c r="AF32" i="1" s="1"/>
  <c r="AE28" i="1"/>
  <c r="X31" i="1"/>
  <c r="F77" i="1"/>
  <c r="F78" i="1" s="1"/>
  <c r="X97" i="1"/>
  <c r="G142" i="1"/>
  <c r="G151" i="1" s="1"/>
  <c r="P13" i="1"/>
  <c r="AB13" i="1"/>
  <c r="U14" i="1"/>
  <c r="U29" i="1" s="1"/>
  <c r="AG14" i="1"/>
  <c r="AG32" i="1" s="1"/>
  <c r="AE27" i="1"/>
  <c r="X30" i="1"/>
  <c r="E75" i="1"/>
  <c r="G77" i="1"/>
  <c r="G78" i="1" s="1"/>
  <c r="F80" i="1"/>
  <c r="G90" i="1"/>
  <c r="F90" i="1" s="1"/>
  <c r="V14" i="1"/>
  <c r="V28" i="1" s="1"/>
  <c r="AH14" i="1"/>
  <c r="AH28" i="1" s="1"/>
  <c r="G119" i="1"/>
  <c r="F135" i="1"/>
  <c r="R13" i="1"/>
  <c r="AD13" i="1"/>
  <c r="W14" i="1"/>
  <c r="W30" i="1" s="1"/>
  <c r="AI14" i="1"/>
  <c r="AI98" i="1" s="1"/>
  <c r="X29" i="1"/>
  <c r="G75" i="1"/>
  <c r="X98" i="1"/>
  <c r="AJ14" i="1"/>
  <c r="AJ30" i="1" s="1"/>
  <c r="H13" i="1"/>
  <c r="T13" i="1"/>
  <c r="AF13" i="1"/>
  <c r="Y14" i="1"/>
  <c r="Y31" i="1" s="1"/>
  <c r="X28" i="1"/>
  <c r="F94" i="1"/>
  <c r="G107" i="1"/>
  <c r="F107" i="1" s="1"/>
  <c r="F150" i="1"/>
  <c r="I13" i="1"/>
  <c r="U13" i="1"/>
  <c r="AG13" i="1"/>
  <c r="Z14" i="1"/>
  <c r="Z33" i="1" s="1"/>
  <c r="X27" i="1"/>
  <c r="AE32" i="1"/>
  <c r="AA14" i="1"/>
  <c r="AA31" i="1" s="1"/>
  <c r="X36" i="1"/>
  <c r="X42" i="1" s="1"/>
  <c r="AB14" i="1"/>
  <c r="AB30" i="1" s="1"/>
  <c r="L13" i="1"/>
  <c r="X13" i="1"/>
  <c r="AJ13" i="1"/>
  <c r="AC14" i="1"/>
  <c r="AC98" i="1" s="1"/>
  <c r="G21" i="1"/>
  <c r="G24" i="1" s="1"/>
  <c r="V32" i="1"/>
  <c r="AH32" i="1"/>
  <c r="M13" i="1"/>
  <c r="Y13" i="1"/>
  <c r="AD14" i="1"/>
  <c r="AD36" i="1" s="1"/>
  <c r="AD42" i="1" s="1"/>
  <c r="G29" i="1"/>
  <c r="AE29" i="1"/>
  <c r="X33" i="1"/>
  <c r="N13" i="1"/>
  <c r="G14" i="1"/>
  <c r="G32" i="1" s="1"/>
  <c r="S14" i="1"/>
  <c r="S28" i="1" s="1"/>
  <c r="X32" i="1"/>
  <c r="G105" i="1"/>
  <c r="F105" i="1" s="1"/>
  <c r="G106" i="1"/>
  <c r="F106" i="1" s="1"/>
  <c r="F111" i="1"/>
  <c r="E119" i="1"/>
  <c r="G121" i="1"/>
  <c r="G125" i="1" s="1"/>
  <c r="F124" i="1"/>
  <c r="E150" i="1"/>
  <c r="E151" i="1" s="1"/>
  <c r="E112" i="1"/>
  <c r="E125" i="1"/>
  <c r="F170" i="1"/>
  <c r="F175" i="1" s="1"/>
  <c r="E166" i="1"/>
  <c r="F110" i="1"/>
  <c r="F123" i="1"/>
  <c r="E234" i="1"/>
  <c r="F116" i="1"/>
  <c r="F119" i="1" s="1"/>
  <c r="F139" i="1"/>
  <c r="F142" i="1" s="1"/>
  <c r="AB29" i="1" l="1"/>
  <c r="U97" i="1"/>
  <c r="AJ98" i="1"/>
  <c r="AA97" i="1"/>
  <c r="E61" i="1"/>
  <c r="AI83" i="1"/>
  <c r="AI88" i="1" s="1"/>
  <c r="AD83" i="1"/>
  <c r="AD88" i="1" s="1"/>
  <c r="AB83" i="1"/>
  <c r="AB88" i="1" s="1"/>
  <c r="AF83" i="1"/>
  <c r="AF88" i="1" s="1"/>
  <c r="Z83" i="1"/>
  <c r="Z88" i="1" s="1"/>
  <c r="AG83" i="1"/>
  <c r="AG88" i="1" s="1"/>
  <c r="AA83" i="1"/>
  <c r="AA88" i="1" s="1"/>
  <c r="Y83" i="1"/>
  <c r="Y88" i="1" s="1"/>
  <c r="AH83" i="1"/>
  <c r="AH88" i="1" s="1"/>
  <c r="AE83" i="1"/>
  <c r="AE88" i="1" s="1"/>
  <c r="AE101" i="1" s="1"/>
  <c r="X83" i="1"/>
  <c r="X88" i="1" s="1"/>
  <c r="W83" i="1"/>
  <c r="W88" i="1" s="1"/>
  <c r="AJ83" i="1"/>
  <c r="AJ88" i="1" s="1"/>
  <c r="AC83" i="1"/>
  <c r="AC88" i="1" s="1"/>
  <c r="Y97" i="1"/>
  <c r="S27" i="1"/>
  <c r="G27" i="1"/>
  <c r="Y32" i="1"/>
  <c r="AC32" i="1"/>
  <c r="AA33" i="1"/>
  <c r="AC31" i="1"/>
  <c r="AI32" i="1"/>
  <c r="AC29" i="1"/>
  <c r="AB32" i="1"/>
  <c r="AA32" i="1"/>
  <c r="G28" i="1"/>
  <c r="W32" i="1"/>
  <c r="AD29" i="1"/>
  <c r="S33" i="1"/>
  <c r="AJ29" i="1"/>
  <c r="G33" i="1"/>
  <c r="AB98" i="1"/>
  <c r="S29" i="1"/>
  <c r="AD98" i="1"/>
  <c r="E101" i="1"/>
  <c r="E167" i="1" s="1"/>
  <c r="E176" i="1" s="1"/>
  <c r="E235" i="1" s="1"/>
  <c r="F21" i="1"/>
  <c r="F24" i="1" s="1"/>
  <c r="G112" i="1"/>
  <c r="F112" i="1"/>
  <c r="X34" i="1"/>
  <c r="X61" i="1" s="1"/>
  <c r="T29" i="1"/>
  <c r="U27" i="1"/>
  <c r="AA27" i="1"/>
  <c r="T32" i="1"/>
  <c r="AI30" i="1"/>
  <c r="AG27" i="1"/>
  <c r="AF98" i="1"/>
  <c r="V29" i="1"/>
  <c r="AF97" i="1"/>
  <c r="S32" i="1"/>
  <c r="AI27" i="1"/>
  <c r="AC30" i="1"/>
  <c r="AC97" i="1"/>
  <c r="AC100" i="1" s="1"/>
  <c r="AC27" i="1"/>
  <c r="AD32" i="1"/>
  <c r="AJ33" i="1"/>
  <c r="AJ36" i="1"/>
  <c r="AJ42" i="1" s="1"/>
  <c r="T63" i="1"/>
  <c r="T57" i="1"/>
  <c r="T31" i="1"/>
  <c r="T64" i="1"/>
  <c r="T59" i="1"/>
  <c r="T54" i="1"/>
  <c r="T33" i="1"/>
  <c r="T55" i="1"/>
  <c r="T36" i="1"/>
  <c r="T42" i="1" s="1"/>
  <c r="T27" i="1"/>
  <c r="T56" i="1"/>
  <c r="S63" i="1"/>
  <c r="S57" i="1"/>
  <c r="S30" i="1"/>
  <c r="S97" i="1"/>
  <c r="S31" i="1"/>
  <c r="S64" i="1"/>
  <c r="S59" i="1"/>
  <c r="S54" i="1"/>
  <c r="S98" i="1"/>
  <c r="S55" i="1"/>
  <c r="S36" i="1"/>
  <c r="S42" i="1" s="1"/>
  <c r="S56" i="1"/>
  <c r="U30" i="1"/>
  <c r="AF30" i="1"/>
  <c r="U32" i="1"/>
  <c r="F151" i="1"/>
  <c r="Y33" i="1"/>
  <c r="Y36" i="1"/>
  <c r="Y42" i="1" s="1"/>
  <c r="Y98" i="1"/>
  <c r="Y27" i="1"/>
  <c r="Y28" i="1"/>
  <c r="Y29" i="1"/>
  <c r="Y30" i="1"/>
  <c r="Y59" i="1"/>
  <c r="Y60" i="1" s="1"/>
  <c r="T98" i="1"/>
  <c r="T100" i="1" s="1"/>
  <c r="Z32" i="1"/>
  <c r="AG29" i="1"/>
  <c r="AF29" i="1"/>
  <c r="AA36" i="1"/>
  <c r="AA42" i="1" s="1"/>
  <c r="AA98" i="1"/>
  <c r="AA100" i="1" s="1"/>
  <c r="AA28" i="1"/>
  <c r="AA30" i="1"/>
  <c r="AA29" i="1"/>
  <c r="T28" i="1"/>
  <c r="AC36" i="1"/>
  <c r="AC42" i="1" s="1"/>
  <c r="G63" i="1"/>
  <c r="G57" i="1"/>
  <c r="G30" i="1"/>
  <c r="G97" i="1"/>
  <c r="G31" i="1"/>
  <c r="G64" i="1"/>
  <c r="G59" i="1"/>
  <c r="G15" i="1"/>
  <c r="G98" i="1"/>
  <c r="G54" i="1"/>
  <c r="G55" i="1"/>
  <c r="G36" i="1"/>
  <c r="G56" i="1"/>
  <c r="H14" i="1"/>
  <c r="I14" i="1" s="1"/>
  <c r="I54" i="1" s="1"/>
  <c r="T30" i="1"/>
  <c r="AJ27" i="1"/>
  <c r="AC33" i="1"/>
  <c r="AE34" i="1"/>
  <c r="AE61" i="1" s="1"/>
  <c r="AC28" i="1"/>
  <c r="AJ32" i="1"/>
  <c r="F121" i="1"/>
  <c r="F125" i="1" s="1"/>
  <c r="AG31" i="1"/>
  <c r="AG33" i="1"/>
  <c r="AG36" i="1"/>
  <c r="AG42" i="1" s="1"/>
  <c r="AG28" i="1"/>
  <c r="AG98" i="1"/>
  <c r="Z36" i="1"/>
  <c r="Z42" i="1" s="1"/>
  <c r="Z27" i="1"/>
  <c r="Z28" i="1"/>
  <c r="Z97" i="1"/>
  <c r="Z31" i="1"/>
  <c r="Z29" i="1"/>
  <c r="AB36" i="1"/>
  <c r="AB42" i="1" s="1"/>
  <c r="AB97" i="1"/>
  <c r="AB100" i="1" s="1"/>
  <c r="AB31" i="1"/>
  <c r="AB33" i="1"/>
  <c r="AH30" i="1"/>
  <c r="AH97" i="1"/>
  <c r="AH31" i="1"/>
  <c r="AH33" i="1"/>
  <c r="AH36" i="1"/>
  <c r="AH42" i="1" s="1"/>
  <c r="AH27" i="1"/>
  <c r="AH98" i="1"/>
  <c r="U31" i="1"/>
  <c r="U64" i="1"/>
  <c r="U59" i="1"/>
  <c r="U54" i="1"/>
  <c r="U33" i="1"/>
  <c r="U98" i="1"/>
  <c r="U55" i="1"/>
  <c r="U36" i="1"/>
  <c r="U42" i="1" s="1"/>
  <c r="U56" i="1"/>
  <c r="U28" i="1"/>
  <c r="U63" i="1"/>
  <c r="U57" i="1"/>
  <c r="AG97" i="1"/>
  <c r="AB27" i="1"/>
  <c r="AB28" i="1"/>
  <c r="Z98" i="1"/>
  <c r="AJ28" i="1"/>
  <c r="AI97" i="1"/>
  <c r="AI100" i="1" s="1"/>
  <c r="AI31" i="1"/>
  <c r="AI33" i="1"/>
  <c r="AI36" i="1"/>
  <c r="AI42" i="1" s="1"/>
  <c r="AI28" i="1"/>
  <c r="AI29" i="1"/>
  <c r="V30" i="1"/>
  <c r="V97" i="1"/>
  <c r="V31" i="1"/>
  <c r="V64" i="1"/>
  <c r="V59" i="1"/>
  <c r="V54" i="1"/>
  <c r="V33" i="1"/>
  <c r="V98" i="1"/>
  <c r="V55" i="1"/>
  <c r="V36" i="1"/>
  <c r="V42" i="1" s="1"/>
  <c r="V27" i="1"/>
  <c r="V56" i="1"/>
  <c r="V63" i="1"/>
  <c r="V57" i="1"/>
  <c r="AJ97" i="1"/>
  <c r="AJ31" i="1"/>
  <c r="AD27" i="1"/>
  <c r="Z30" i="1"/>
  <c r="W97" i="1"/>
  <c r="W31" i="1"/>
  <c r="W64" i="1"/>
  <c r="W65" i="1" s="1"/>
  <c r="W59" i="1"/>
  <c r="W33" i="1"/>
  <c r="W98" i="1"/>
  <c r="W55" i="1"/>
  <c r="W36" i="1"/>
  <c r="W42" i="1" s="1"/>
  <c r="W56" i="1"/>
  <c r="W28" i="1"/>
  <c r="W29" i="1"/>
  <c r="AH29" i="1"/>
  <c r="X100" i="1"/>
  <c r="AG30" i="1"/>
  <c r="AD28" i="1"/>
  <c r="AD30" i="1"/>
  <c r="AD97" i="1"/>
  <c r="AD31" i="1"/>
  <c r="AD33" i="1"/>
  <c r="AF31" i="1"/>
  <c r="AF33" i="1"/>
  <c r="AF36" i="1"/>
  <c r="AF42" i="1" s="1"/>
  <c r="AF27" i="1"/>
  <c r="W27" i="1"/>
  <c r="AF28" i="1"/>
  <c r="U100" i="1" l="1"/>
  <c r="I55" i="1"/>
  <c r="I60" i="1" s="1"/>
  <c r="Y100" i="1"/>
  <c r="Y101" i="1" s="1"/>
  <c r="AJ100" i="1"/>
  <c r="AA101" i="1"/>
  <c r="AI101" i="1"/>
  <c r="AJ101" i="1"/>
  <c r="AC101" i="1"/>
  <c r="AB101" i="1"/>
  <c r="X101" i="1"/>
  <c r="AD100" i="1"/>
  <c r="AD101" i="1" s="1"/>
  <c r="AG100" i="1"/>
  <c r="AG101" i="1" s="1"/>
  <c r="I33" i="1"/>
  <c r="I32" i="1"/>
  <c r="J14" i="1"/>
  <c r="I64" i="1"/>
  <c r="I31" i="1"/>
  <c r="I57" i="1"/>
  <c r="I97" i="1"/>
  <c r="I59" i="1"/>
  <c r="I63" i="1"/>
  <c r="I65" i="1" s="1"/>
  <c r="I98" i="1"/>
  <c r="I29" i="1"/>
  <c r="I27" i="1"/>
  <c r="I28" i="1"/>
  <c r="I56" i="1"/>
  <c r="I36" i="1"/>
  <c r="I42" i="1" s="1"/>
  <c r="I30" i="1"/>
  <c r="AC34" i="1"/>
  <c r="AC61" i="1" s="1"/>
  <c r="G34" i="1"/>
  <c r="AA34" i="1"/>
  <c r="AA61" i="1" s="1"/>
  <c r="S34" i="1"/>
  <c r="V100" i="1"/>
  <c r="S100" i="1"/>
  <c r="AI34" i="1"/>
  <c r="AI61" i="1" s="1"/>
  <c r="X167" i="1"/>
  <c r="X176" i="1" s="1"/>
  <c r="W60" i="1"/>
  <c r="AF100" i="1"/>
  <c r="AF101" i="1" s="1"/>
  <c r="AG34" i="1"/>
  <c r="AG61" i="1" s="1"/>
  <c r="S65" i="1"/>
  <c r="U34" i="1"/>
  <c r="T65" i="1"/>
  <c r="AF34" i="1"/>
  <c r="AF61" i="1" s="1"/>
  <c r="AD34" i="1"/>
  <c r="AD61" i="1" s="1"/>
  <c r="V60" i="1"/>
  <c r="AH100" i="1"/>
  <c r="AH101" i="1" s="1"/>
  <c r="G60" i="1"/>
  <c r="W100" i="1"/>
  <c r="W101" i="1" s="1"/>
  <c r="AH34" i="1"/>
  <c r="AH61" i="1" s="1"/>
  <c r="G42" i="1"/>
  <c r="Z100" i="1"/>
  <c r="Z101" i="1" s="1"/>
  <c r="V65" i="1"/>
  <c r="AB34" i="1"/>
  <c r="AB61" i="1" s="1"/>
  <c r="Z34" i="1"/>
  <c r="Z61" i="1" s="1"/>
  <c r="S60" i="1"/>
  <c r="S61" i="1" s="1"/>
  <c r="U60" i="1"/>
  <c r="H15" i="1"/>
  <c r="I15" i="1" s="1"/>
  <c r="J15" i="1" s="1"/>
  <c r="T34" i="1"/>
  <c r="U65" i="1"/>
  <c r="AE167" i="1"/>
  <c r="AE176" i="1" s="1"/>
  <c r="G65" i="1"/>
  <c r="AJ34" i="1"/>
  <c r="AJ61" i="1" s="1"/>
  <c r="V34" i="1"/>
  <c r="Y34" i="1"/>
  <c r="Y61" i="1" s="1"/>
  <c r="T60" i="1"/>
  <c r="H63" i="1"/>
  <c r="H57" i="1"/>
  <c r="H31" i="1"/>
  <c r="H64" i="1"/>
  <c r="H59" i="1"/>
  <c r="H98" i="1"/>
  <c r="H54" i="1"/>
  <c r="H33" i="1"/>
  <c r="H55" i="1"/>
  <c r="H36" i="1"/>
  <c r="H42" i="1" s="1"/>
  <c r="H27" i="1"/>
  <c r="H56" i="1"/>
  <c r="H29" i="1"/>
  <c r="H32" i="1"/>
  <c r="H30" i="1"/>
  <c r="H97" i="1"/>
  <c r="H28" i="1"/>
  <c r="W34" i="1"/>
  <c r="I100" i="1" l="1"/>
  <c r="W61" i="1"/>
  <c r="W167" i="1" s="1"/>
  <c r="W176" i="1" s="1"/>
  <c r="I34" i="1"/>
  <c r="I61" i="1" s="1"/>
  <c r="AJ167" i="1"/>
  <c r="AJ176" i="1" s="1"/>
  <c r="AI167" i="1"/>
  <c r="AI176" i="1" s="1"/>
  <c r="AB167" i="1"/>
  <c r="AB176" i="1" s="1"/>
  <c r="Y167" i="1"/>
  <c r="Y176" i="1" s="1"/>
  <c r="AC167" i="1"/>
  <c r="AC176" i="1" s="1"/>
  <c r="AA167" i="1"/>
  <c r="AA176" i="1" s="1"/>
  <c r="AG167" i="1"/>
  <c r="AG176" i="1" s="1"/>
  <c r="AD167" i="1"/>
  <c r="AD176" i="1" s="1"/>
  <c r="J32" i="1"/>
  <c r="J98" i="1"/>
  <c r="J28" i="1"/>
  <c r="K14" i="1"/>
  <c r="K15" i="1" s="1"/>
  <c r="J59" i="1"/>
  <c r="J36" i="1"/>
  <c r="J42" i="1" s="1"/>
  <c r="J57" i="1"/>
  <c r="J54" i="1"/>
  <c r="J63" i="1"/>
  <c r="J33" i="1"/>
  <c r="J55" i="1"/>
  <c r="J30" i="1"/>
  <c r="J27" i="1"/>
  <c r="J64" i="1"/>
  <c r="J29" i="1"/>
  <c r="J56" i="1"/>
  <c r="J97" i="1"/>
  <c r="J31" i="1"/>
  <c r="AF167" i="1"/>
  <c r="AF176" i="1" s="1"/>
  <c r="V61" i="1"/>
  <c r="X251" i="1"/>
  <c r="T61" i="1"/>
  <c r="H60" i="1"/>
  <c r="H65" i="1"/>
  <c r="U61" i="1"/>
  <c r="Z167" i="1"/>
  <c r="Z176" i="1" s="1"/>
  <c r="AH167" i="1"/>
  <c r="AH176" i="1" s="1"/>
  <c r="H34" i="1"/>
  <c r="G61" i="1"/>
  <c r="AE251" i="1"/>
  <c r="H100" i="1"/>
  <c r="AF251" i="1" l="1"/>
  <c r="AB251" i="1"/>
  <c r="Y251" i="1"/>
  <c r="AC251" i="1"/>
  <c r="AA251" i="1"/>
  <c r="AD251" i="1"/>
  <c r="AG251" i="1"/>
  <c r="AJ251" i="1"/>
  <c r="AI251" i="1"/>
  <c r="J65" i="1"/>
  <c r="J60" i="1"/>
  <c r="K30" i="1"/>
  <c r="L14" i="1"/>
  <c r="L15" i="1" s="1"/>
  <c r="K32" i="1"/>
  <c r="K33" i="1"/>
  <c r="K36" i="1"/>
  <c r="K56" i="1"/>
  <c r="K27" i="1"/>
  <c r="K55" i="1"/>
  <c r="K54" i="1"/>
  <c r="K28" i="1"/>
  <c r="K29" i="1"/>
  <c r="K63" i="1"/>
  <c r="K64" i="1"/>
  <c r="K65" i="1" s="1"/>
  <c r="K97" i="1"/>
  <c r="K57" i="1"/>
  <c r="K31" i="1"/>
  <c r="K59" i="1"/>
  <c r="K98" i="1"/>
  <c r="J34" i="1"/>
  <c r="J100" i="1"/>
  <c r="H61" i="1"/>
  <c r="W251" i="1"/>
  <c r="Z251" i="1"/>
  <c r="AH251" i="1"/>
  <c r="J61" i="1" l="1"/>
  <c r="K34" i="1"/>
  <c r="K42" i="1"/>
  <c r="K60" i="1"/>
  <c r="K100" i="1"/>
  <c r="L64" i="1"/>
  <c r="L97" i="1"/>
  <c r="L100" i="1" s="1"/>
  <c r="L29" i="1"/>
  <c r="L59" i="1"/>
  <c r="M14" i="1"/>
  <c r="M15" i="1" s="1"/>
  <c r="L27" i="1"/>
  <c r="L36" i="1"/>
  <c r="L42" i="1" s="1"/>
  <c r="L98" i="1"/>
  <c r="L56" i="1"/>
  <c r="L57" i="1"/>
  <c r="L33" i="1"/>
  <c r="L31" i="1"/>
  <c r="L63" i="1"/>
  <c r="L54" i="1"/>
  <c r="L28" i="1"/>
  <c r="L55" i="1"/>
  <c r="L32" i="1"/>
  <c r="L30" i="1"/>
  <c r="L65" i="1" l="1"/>
  <c r="L60" i="1"/>
  <c r="K61" i="1"/>
  <c r="L34" i="1"/>
  <c r="M97" i="1"/>
  <c r="N14" i="1"/>
  <c r="N15" i="1" s="1"/>
  <c r="M32" i="1"/>
  <c r="M63" i="1"/>
  <c r="M57" i="1"/>
  <c r="M29" i="1"/>
  <c r="M31" i="1"/>
  <c r="M30" i="1"/>
  <c r="M54" i="1"/>
  <c r="M64" i="1"/>
  <c r="M33" i="1"/>
  <c r="M59" i="1"/>
  <c r="M98" i="1"/>
  <c r="M100" i="1" s="1"/>
  <c r="M55" i="1"/>
  <c r="M36" i="1"/>
  <c r="M42" i="1" s="1"/>
  <c r="M27" i="1"/>
  <c r="M28" i="1"/>
  <c r="M56" i="1"/>
  <c r="M60" i="1" l="1"/>
  <c r="M65" i="1"/>
  <c r="L61" i="1"/>
  <c r="M34" i="1"/>
  <c r="M61" i="1" s="1"/>
  <c r="N32" i="1"/>
  <c r="O14" i="1"/>
  <c r="N33" i="1"/>
  <c r="N57" i="1"/>
  <c r="N97" i="1"/>
  <c r="N27" i="1"/>
  <c r="N31" i="1"/>
  <c r="N64" i="1"/>
  <c r="N65" i="1" s="1"/>
  <c r="N59" i="1"/>
  <c r="N30" i="1"/>
  <c r="N98" i="1"/>
  <c r="N54" i="1"/>
  <c r="N63" i="1"/>
  <c r="N55" i="1"/>
  <c r="N29" i="1"/>
  <c r="N36" i="1"/>
  <c r="N56" i="1"/>
  <c r="N28" i="1"/>
  <c r="N60" i="1" l="1"/>
  <c r="N34" i="1"/>
  <c r="N100" i="1"/>
  <c r="O98" i="1"/>
  <c r="P14" i="1"/>
  <c r="O32" i="1"/>
  <c r="O33" i="1"/>
  <c r="O27" i="1"/>
  <c r="O97" i="1"/>
  <c r="O100" i="1" s="1"/>
  <c r="O55" i="1"/>
  <c r="O36" i="1"/>
  <c r="O42" i="1" s="1"/>
  <c r="O56" i="1"/>
  <c r="O28" i="1"/>
  <c r="O63" i="1"/>
  <c r="O57" i="1"/>
  <c r="O30" i="1"/>
  <c r="O64" i="1"/>
  <c r="O59" i="1"/>
  <c r="O31" i="1"/>
  <c r="O54" i="1"/>
  <c r="O29" i="1"/>
  <c r="O15" i="1"/>
  <c r="P15" i="1" s="1"/>
  <c r="N42" i="1"/>
  <c r="N61" i="1" s="1"/>
  <c r="O34" i="1" l="1"/>
  <c r="O60" i="1"/>
  <c r="O61" i="1" s="1"/>
  <c r="P98" i="1"/>
  <c r="P28" i="1"/>
  <c r="Q14" i="1"/>
  <c r="P27" i="1"/>
  <c r="P57" i="1"/>
  <c r="P63" i="1"/>
  <c r="P30" i="1"/>
  <c r="P97" i="1"/>
  <c r="P31" i="1"/>
  <c r="P64" i="1"/>
  <c r="P55" i="1"/>
  <c r="P59" i="1"/>
  <c r="P32" i="1"/>
  <c r="P54" i="1"/>
  <c r="P33" i="1"/>
  <c r="P29" i="1"/>
  <c r="P36" i="1"/>
  <c r="P56" i="1"/>
  <c r="O65" i="1"/>
  <c r="P34" i="1" l="1"/>
  <c r="P42" i="1"/>
  <c r="Q33" i="1"/>
  <c r="R14" i="1"/>
  <c r="Q32" i="1"/>
  <c r="Q30" i="1"/>
  <c r="Q97" i="1"/>
  <c r="Q100" i="1" s="1"/>
  <c r="Q29" i="1"/>
  <c r="Q31" i="1"/>
  <c r="Q56" i="1"/>
  <c r="Q63" i="1"/>
  <c r="Q57" i="1"/>
  <c r="Q64" i="1"/>
  <c r="Q98" i="1"/>
  <c r="Q59" i="1"/>
  <c r="Q27" i="1"/>
  <c r="Q54" i="1"/>
  <c r="Q28" i="1"/>
  <c r="Q55" i="1"/>
  <c r="Q36" i="1"/>
  <c r="Q42" i="1" s="1"/>
  <c r="Q15" i="1"/>
  <c r="P100" i="1"/>
  <c r="P60" i="1"/>
  <c r="P61" i="1" s="1"/>
  <c r="P65" i="1"/>
  <c r="Q65" i="1" l="1"/>
  <c r="Q34" i="1"/>
  <c r="Q60" i="1"/>
  <c r="Q61" i="1" s="1"/>
  <c r="R98" i="1"/>
  <c r="F98" i="1" s="1"/>
  <c r="R29" i="1"/>
  <c r="F29" i="1" s="1"/>
  <c r="R55" i="1"/>
  <c r="F55" i="1" s="1"/>
  <c r="R56" i="1"/>
  <c r="F56" i="1" s="1"/>
  <c r="R28" i="1"/>
  <c r="F28" i="1" s="1"/>
  <c r="R36" i="1"/>
  <c r="R42" i="1" s="1"/>
  <c r="R63" i="1"/>
  <c r="F63" i="1" s="1"/>
  <c r="R57" i="1"/>
  <c r="F57" i="1" s="1"/>
  <c r="R30" i="1"/>
  <c r="F30" i="1" s="1"/>
  <c r="R97" i="1"/>
  <c r="R31" i="1"/>
  <c r="F31" i="1" s="1"/>
  <c r="R32" i="1"/>
  <c r="F32" i="1" s="1"/>
  <c r="R64" i="1"/>
  <c r="R33" i="1"/>
  <c r="F33" i="1" s="1"/>
  <c r="R27" i="1"/>
  <c r="R59" i="1"/>
  <c r="F59" i="1" s="1"/>
  <c r="R54" i="1"/>
  <c r="F36" i="1"/>
  <c r="F42" i="1" s="1"/>
  <c r="F27" i="1"/>
  <c r="R15" i="1"/>
  <c r="S15" i="1" s="1"/>
  <c r="T15" i="1" s="1"/>
  <c r="U15" i="1" s="1"/>
  <c r="V15" i="1" s="1"/>
  <c r="W15" i="1" s="1"/>
  <c r="X15" i="1" s="1"/>
  <c r="Y15" i="1" s="1"/>
  <c r="Z15" i="1" s="1"/>
  <c r="AA15" i="1" s="1"/>
  <c r="AB15" i="1" s="1"/>
  <c r="AC15" i="1" s="1"/>
  <c r="AD15" i="1" s="1"/>
  <c r="AE15" i="1" s="1"/>
  <c r="AF15" i="1" s="1"/>
  <c r="AG15" i="1" s="1"/>
  <c r="AH15" i="1" s="1"/>
  <c r="AI15" i="1" s="1"/>
  <c r="AJ15" i="1" s="1"/>
  <c r="F34" i="1" l="1"/>
  <c r="R34" i="1"/>
  <c r="R65" i="1"/>
  <c r="F64" i="1"/>
  <c r="F65" i="1" s="1"/>
  <c r="R60" i="1"/>
  <c r="R61" i="1" s="1"/>
  <c r="F54" i="1"/>
  <c r="F60" i="1" s="1"/>
  <c r="F61" i="1" s="1"/>
  <c r="R100" i="1"/>
  <c r="F97" i="1"/>
  <c r="C114" i="1" l="1" a="1"/>
  <c r="C114" i="1" s="1"/>
  <c r="G234" i="1" l="1"/>
  <c r="F234" i="1" s="1"/>
  <c r="F205" i="1"/>
  <c r="F91" i="1"/>
  <c r="F100" i="1" s="1"/>
  <c r="G100" i="1"/>
  <c r="F154" i="1"/>
  <c r="F166" i="1" s="1"/>
  <c r="G166" i="1"/>
  <c r="G88" i="1" l="1"/>
  <c r="G101" i="1" s="1"/>
  <c r="G167" i="1" s="1"/>
  <c r="G176" i="1" s="1"/>
  <c r="G183" i="1" l="1"/>
  <c r="G178" i="1"/>
  <c r="G251" i="1"/>
  <c r="G184" i="1" l="1"/>
  <c r="H183" i="1"/>
  <c r="H193" i="1"/>
  <c r="H239" i="1" l="1"/>
  <c r="H194" i="1"/>
  <c r="G185" i="1"/>
  <c r="I183" i="1"/>
  <c r="G186" i="1" l="1"/>
  <c r="J183" i="1"/>
  <c r="H240" i="1"/>
  <c r="H195" i="1"/>
  <c r="K183" i="1" l="1"/>
  <c r="L183" i="1" s="1"/>
  <c r="G187" i="1"/>
  <c r="H241" i="1"/>
  <c r="H196" i="1"/>
  <c r="M183" i="1" l="1"/>
  <c r="N183" i="1"/>
  <c r="O183" i="1" s="1"/>
  <c r="P183" i="1" s="1"/>
  <c r="Q183" i="1" s="1"/>
  <c r="R183" i="1" s="1"/>
  <c r="S183" i="1" s="1"/>
  <c r="T183" i="1" s="1"/>
  <c r="U183" i="1" s="1"/>
  <c r="V183" i="1" s="1"/>
  <c r="W183" i="1" s="1"/>
  <c r="X183" i="1" s="1"/>
  <c r="Y183" i="1" s="1"/>
  <c r="Z183" i="1" s="1"/>
  <c r="AA183" i="1" s="1"/>
  <c r="AB183" i="1" s="1"/>
  <c r="AC183" i="1" s="1"/>
  <c r="AD183" i="1" s="1"/>
  <c r="AE183" i="1" s="1"/>
  <c r="AF183" i="1" s="1"/>
  <c r="AG183" i="1" s="1"/>
  <c r="AH183" i="1" s="1"/>
  <c r="AI183" i="1" s="1"/>
  <c r="H197" i="1"/>
  <c r="H83" i="1" s="1"/>
  <c r="H88" i="1" s="1"/>
  <c r="H101" i="1" s="1"/>
  <c r="H167" i="1" s="1"/>
  <c r="H176" i="1" s="1"/>
  <c r="H242" i="1"/>
  <c r="G191" i="1"/>
  <c r="G233" i="1" s="1"/>
  <c r="I238" i="1"/>
  <c r="I193" i="1"/>
  <c r="H184" i="1" l="1"/>
  <c r="H185" i="1" s="1"/>
  <c r="H251" i="1"/>
  <c r="H178" i="1"/>
  <c r="AJ183" i="1"/>
  <c r="G236" i="1"/>
  <c r="G235" i="1"/>
  <c r="I240" i="1" l="1"/>
  <c r="I195" i="1"/>
  <c r="H186" i="1"/>
  <c r="I239" i="1"/>
  <c r="I194" i="1"/>
  <c r="H187" i="1" l="1"/>
  <c r="H191" i="1" s="1"/>
  <c r="H233" i="1" s="1"/>
  <c r="I241" i="1"/>
  <c r="I196" i="1"/>
  <c r="H235" i="1" l="1"/>
  <c r="H236" i="1"/>
  <c r="I242" i="1"/>
  <c r="I197" i="1"/>
  <c r="I83" i="1" s="1"/>
  <c r="I88" i="1" s="1"/>
  <c r="I101" i="1" s="1"/>
  <c r="I167" i="1" s="1"/>
  <c r="I176" i="1" s="1"/>
  <c r="J193" i="1"/>
  <c r="J238" i="1"/>
  <c r="I251" i="1" l="1"/>
  <c r="I184" i="1"/>
  <c r="I178" i="1"/>
  <c r="J239" i="1" l="1"/>
  <c r="J194" i="1"/>
  <c r="I185" i="1"/>
  <c r="J240" i="1" l="1"/>
  <c r="I186" i="1"/>
  <c r="J195" i="1"/>
  <c r="J196" i="1" l="1"/>
  <c r="I187" i="1"/>
  <c r="J241" i="1"/>
  <c r="K193" i="1"/>
  <c r="K238" i="1"/>
  <c r="I191" i="1" l="1"/>
  <c r="I233" i="1" s="1"/>
  <c r="J242" i="1"/>
  <c r="J197" i="1"/>
  <c r="J83" i="1" s="1"/>
  <c r="J88" i="1" s="1"/>
  <c r="J101" i="1" s="1"/>
  <c r="J167" i="1" s="1"/>
  <c r="J176" i="1" s="1"/>
  <c r="J178" i="1" l="1"/>
  <c r="J184" i="1"/>
  <c r="J251" i="1"/>
  <c r="I235" i="1"/>
  <c r="I236" i="1"/>
  <c r="J185" i="1" l="1"/>
  <c r="K194" i="1"/>
  <c r="K239" i="1"/>
  <c r="L193" i="1"/>
  <c r="L238" i="1"/>
  <c r="K240" i="1" l="1"/>
  <c r="K195" i="1"/>
  <c r="J186" i="1"/>
  <c r="K241" i="1" l="1"/>
  <c r="K196" i="1"/>
  <c r="J187" i="1"/>
  <c r="J191" i="1" s="1"/>
  <c r="J233" i="1" s="1"/>
  <c r="J235" i="1" l="1"/>
  <c r="J236" i="1"/>
  <c r="K242" i="1"/>
  <c r="K197" i="1"/>
  <c r="K83" i="1" s="1"/>
  <c r="K88" i="1" s="1"/>
  <c r="K101" i="1" s="1"/>
  <c r="K167" i="1" s="1"/>
  <c r="K176" i="1" s="1"/>
  <c r="M193" i="1"/>
  <c r="M238" i="1"/>
  <c r="K178" i="1" l="1"/>
  <c r="K184" i="1"/>
  <c r="K185" i="1"/>
  <c r="K251" i="1"/>
  <c r="L195" i="1" l="1"/>
  <c r="L240" i="1"/>
  <c r="K186" i="1"/>
  <c r="L239" i="1"/>
  <c r="L194" i="1"/>
  <c r="L196" i="1" l="1"/>
  <c r="L241" i="1"/>
  <c r="K187" i="1"/>
  <c r="N193" i="1"/>
  <c r="N238" i="1"/>
  <c r="L197" i="1" l="1"/>
  <c r="L83" i="1" s="1"/>
  <c r="L88" i="1" s="1"/>
  <c r="L101" i="1" s="1"/>
  <c r="L167" i="1" s="1"/>
  <c r="L176" i="1" s="1"/>
  <c r="L242" i="1"/>
  <c r="K191" i="1"/>
  <c r="K233" i="1" s="1"/>
  <c r="O238" i="1"/>
  <c r="O193" i="1"/>
  <c r="L184" i="1" l="1"/>
  <c r="L185" i="1" s="1"/>
  <c r="L178" i="1"/>
  <c r="L251" i="1"/>
  <c r="K236" i="1"/>
  <c r="K235" i="1"/>
  <c r="M240" i="1" l="1"/>
  <c r="M195" i="1"/>
  <c r="L186" i="1"/>
  <c r="M239" i="1"/>
  <c r="M194" i="1"/>
  <c r="P193" i="1"/>
  <c r="P238" i="1"/>
  <c r="M241" i="1" l="1"/>
  <c r="M196" i="1"/>
  <c r="L187" i="1"/>
  <c r="M197" i="1" l="1"/>
  <c r="M83" i="1" s="1"/>
  <c r="M88" i="1" s="1"/>
  <c r="M101" i="1" s="1"/>
  <c r="M167" i="1" s="1"/>
  <c r="M176" i="1" s="1"/>
  <c r="M242" i="1"/>
  <c r="L191" i="1"/>
  <c r="L233" i="1" s="1"/>
  <c r="L235" i="1" l="1"/>
  <c r="L236" i="1"/>
  <c r="M178" i="1"/>
  <c r="M251" i="1"/>
  <c r="M184" i="1"/>
  <c r="M185" i="1" s="1"/>
  <c r="M186" i="1" s="1"/>
  <c r="Q193" i="1"/>
  <c r="Q238" i="1"/>
  <c r="M187" i="1" l="1"/>
  <c r="M191" i="1" s="1"/>
  <c r="M233" i="1" s="1"/>
  <c r="M235" i="1" s="1"/>
  <c r="N241" i="1"/>
  <c r="N196" i="1"/>
  <c r="N195" i="1"/>
  <c r="N240" i="1"/>
  <c r="N239" i="1"/>
  <c r="N194" i="1"/>
  <c r="M236" i="1" l="1"/>
  <c r="N242" i="1"/>
  <c r="N197" i="1"/>
  <c r="N83" i="1" s="1"/>
  <c r="N88" i="1" s="1"/>
  <c r="N101" i="1" s="1"/>
  <c r="N167" i="1" s="1"/>
  <c r="N176" i="1" s="1"/>
  <c r="R193" i="1"/>
  <c r="R238" i="1"/>
  <c r="N178" i="1" l="1"/>
  <c r="N184" i="1"/>
  <c r="N251" i="1"/>
  <c r="N185" i="1"/>
  <c r="S193" i="1"/>
  <c r="S238" i="1"/>
  <c r="N186" i="1" l="1"/>
  <c r="O240" i="1"/>
  <c r="O195" i="1"/>
  <c r="N187" i="1"/>
  <c r="O239" i="1"/>
  <c r="O194" i="1"/>
  <c r="O197" i="1" l="1"/>
  <c r="O242" i="1"/>
  <c r="O196" i="1"/>
  <c r="O241" i="1"/>
  <c r="N191" i="1"/>
  <c r="N233" i="1" s="1"/>
  <c r="N236" i="1" l="1"/>
  <c r="N235" i="1"/>
  <c r="O83" i="1"/>
  <c r="O88" i="1" s="1"/>
  <c r="O101" i="1" s="1"/>
  <c r="O167" i="1" s="1"/>
  <c r="O176" i="1" s="1"/>
  <c r="T193" i="1"/>
  <c r="T238" i="1"/>
  <c r="O184" i="1" l="1"/>
  <c r="O185" i="1" s="1"/>
  <c r="O178" i="1"/>
  <c r="O251" i="1"/>
  <c r="O186" i="1" l="1"/>
  <c r="P240" i="1"/>
  <c r="P195" i="1"/>
  <c r="P194" i="1"/>
  <c r="P239" i="1"/>
  <c r="O187" i="1"/>
  <c r="U238" i="1"/>
  <c r="U193" i="1"/>
  <c r="O191" i="1" l="1"/>
  <c r="O233" i="1" s="1"/>
  <c r="P197" i="1"/>
  <c r="P242" i="1"/>
  <c r="P196" i="1"/>
  <c r="P241" i="1"/>
  <c r="P83" i="1" l="1"/>
  <c r="P88" i="1" s="1"/>
  <c r="P101" i="1" s="1"/>
  <c r="P167" i="1" s="1"/>
  <c r="P176" i="1" s="1"/>
  <c r="O235" i="1"/>
  <c r="O236" i="1"/>
  <c r="V238" i="1"/>
  <c r="V193" i="1"/>
  <c r="P184" i="1" l="1"/>
  <c r="P185" i="1" s="1"/>
  <c r="P251" i="1"/>
  <c r="P178" i="1"/>
  <c r="E193" i="1"/>
  <c r="Q195" i="1" l="1"/>
  <c r="Q240" i="1"/>
  <c r="Q239" i="1"/>
  <c r="Q194" i="1"/>
  <c r="P186" i="1"/>
  <c r="Q196" i="1" l="1"/>
  <c r="P187" i="1"/>
  <c r="Q241" i="1"/>
  <c r="W238" i="1"/>
  <c r="AL183" i="1"/>
  <c r="AC238" i="1"/>
  <c r="AE238" i="1"/>
  <c r="Z238" i="1"/>
  <c r="AN183" i="1"/>
  <c r="AD238" i="1"/>
  <c r="AB238" i="1"/>
  <c r="AH238" i="1"/>
  <c r="AI238" i="1"/>
  <c r="Y238" i="1"/>
  <c r="X238" i="1"/>
  <c r="AM183" i="1"/>
  <c r="AA238" i="1"/>
  <c r="AJ238" i="1"/>
  <c r="AF238" i="1"/>
  <c r="AG238" i="1"/>
  <c r="Q242" i="1" l="1"/>
  <c r="Q197" i="1"/>
  <c r="Q83" i="1" s="1"/>
  <c r="Q88" i="1" s="1"/>
  <c r="Q101" i="1" s="1"/>
  <c r="Q167" i="1" s="1"/>
  <c r="Q176" i="1" s="1"/>
  <c r="P191" i="1"/>
  <c r="P233" i="1" s="1"/>
  <c r="AO183" i="1"/>
  <c r="F183" i="1" s="1"/>
  <c r="Q178" i="1" l="1"/>
  <c r="Q251" i="1"/>
  <c r="Q184" i="1"/>
  <c r="Q185" i="1" s="1"/>
  <c r="P236" i="1"/>
  <c r="P235" i="1"/>
  <c r="R194" i="1"/>
  <c r="R239" i="1" l="1"/>
  <c r="Q186" i="1"/>
  <c r="R195" i="1"/>
  <c r="R240" i="1"/>
  <c r="Q187" i="1"/>
  <c r="R197" i="1" s="1"/>
  <c r="Q191" i="1" l="1"/>
  <c r="Q233" i="1" s="1"/>
  <c r="Q236" i="1" s="1"/>
  <c r="R242" i="1"/>
  <c r="R196" i="1"/>
  <c r="R83" i="1" s="1"/>
  <c r="R241" i="1"/>
  <c r="R88" i="1"/>
  <c r="R101" i="1" s="1"/>
  <c r="R167" i="1" s="1"/>
  <c r="R176" i="1" s="1"/>
  <c r="Q235" i="1" l="1"/>
  <c r="R184" i="1"/>
  <c r="R185" i="1"/>
  <c r="R186" i="1" s="1"/>
  <c r="R251" i="1"/>
  <c r="R178" i="1"/>
  <c r="S196" i="1" l="1"/>
  <c r="S241" i="1"/>
  <c r="S240" i="1"/>
  <c r="S195" i="1"/>
  <c r="R187" i="1"/>
  <c r="S194" i="1"/>
  <c r="S239" i="1"/>
  <c r="S197" i="1" l="1"/>
  <c r="S242" i="1"/>
  <c r="R191" i="1"/>
  <c r="R233" i="1" s="1"/>
  <c r="S83" i="1"/>
  <c r="S88" i="1" l="1"/>
  <c r="S101" i="1" s="1"/>
  <c r="S167" i="1" s="1"/>
  <c r="S176" i="1" s="1"/>
  <c r="R235" i="1"/>
  <c r="R236" i="1"/>
  <c r="S184" i="1" l="1"/>
  <c r="S185" i="1" s="1"/>
  <c r="S251" i="1"/>
  <c r="S178" i="1"/>
  <c r="T195" i="1" l="1"/>
  <c r="T240" i="1"/>
  <c r="T194" i="1"/>
  <c r="T239" i="1"/>
  <c r="S186" i="1"/>
  <c r="T196" i="1" l="1"/>
  <c r="T241" i="1"/>
  <c r="S187" i="1"/>
  <c r="S191" i="1" s="1"/>
  <c r="S233" i="1" s="1"/>
  <c r="S235" i="1" l="1"/>
  <c r="S236" i="1"/>
  <c r="T197" i="1"/>
  <c r="T83" i="1" s="1"/>
  <c r="T242" i="1"/>
  <c r="T88" i="1" l="1"/>
  <c r="T101" i="1" s="1"/>
  <c r="T167" i="1" s="1"/>
  <c r="T176" i="1" s="1"/>
  <c r="T184" i="1" l="1"/>
  <c r="T185" i="1" s="1"/>
  <c r="T251" i="1"/>
  <c r="T178" i="1"/>
  <c r="U195" i="1" l="1"/>
  <c r="U240" i="1"/>
  <c r="T186" i="1"/>
  <c r="U194" i="1"/>
  <c r="U239" i="1"/>
  <c r="U241" i="1" l="1"/>
  <c r="U196" i="1"/>
  <c r="T187" i="1"/>
  <c r="U197" i="1" l="1"/>
  <c r="U83" i="1" s="1"/>
  <c r="U242" i="1"/>
  <c r="T191" i="1"/>
  <c r="T233" i="1" s="1"/>
  <c r="U88" i="1" l="1"/>
  <c r="U101" i="1" s="1"/>
  <c r="U167" i="1" s="1"/>
  <c r="U176" i="1" s="1"/>
  <c r="T235" i="1"/>
  <c r="T236" i="1"/>
  <c r="U184" i="1" l="1"/>
  <c r="U185" i="1" s="1"/>
  <c r="U251" i="1"/>
  <c r="U178" i="1"/>
  <c r="V194" i="1" l="1"/>
  <c r="V239" i="1"/>
  <c r="V195" i="1"/>
  <c r="E195" i="1" s="1"/>
  <c r="V240" i="1"/>
  <c r="U186" i="1"/>
  <c r="E194" i="1" l="1"/>
  <c r="V196" i="1"/>
  <c r="E196" i="1" s="1"/>
  <c r="V241" i="1"/>
  <c r="U187" i="1"/>
  <c r="U191" i="1" s="1"/>
  <c r="U233" i="1" s="1"/>
  <c r="U235" i="1" l="1"/>
  <c r="U236" i="1"/>
  <c r="V197" i="1"/>
  <c r="E197" i="1" s="1"/>
  <c r="V242" i="1"/>
  <c r="V83" i="1" l="1"/>
  <c r="V88" i="1" l="1"/>
  <c r="V101" i="1" s="1"/>
  <c r="V167" i="1" s="1"/>
  <c r="V176" i="1" s="1"/>
  <c r="F83" i="1"/>
  <c r="F88" i="1" s="1"/>
  <c r="F101" i="1" s="1"/>
  <c r="F167" i="1" s="1"/>
  <c r="F176" i="1" s="1"/>
  <c r="V184" i="1" l="1"/>
  <c r="V251" i="1"/>
  <c r="E251" i="1" s="1"/>
  <c r="E253" i="1" s="1"/>
  <c r="V178" i="1"/>
  <c r="W178" i="1" s="1"/>
  <c r="X178" i="1" s="1"/>
  <c r="Y178" i="1" s="1"/>
  <c r="Z178" i="1" s="1"/>
  <c r="AA178" i="1" s="1"/>
  <c r="AB178" i="1" s="1"/>
  <c r="AC178" i="1" s="1"/>
  <c r="AD178" i="1" s="1"/>
  <c r="AE178" i="1" s="1"/>
  <c r="AF178" i="1" s="1"/>
  <c r="AG178" i="1" s="1"/>
  <c r="AH178" i="1" s="1"/>
  <c r="AI178" i="1" s="1"/>
  <c r="AJ178" i="1" s="1"/>
  <c r="W184" i="1" l="1"/>
  <c r="W239" i="1"/>
  <c r="V185" i="1"/>
  <c r="W240" i="1" l="1"/>
  <c r="V186" i="1"/>
  <c r="W241" i="1" s="1"/>
  <c r="W185" i="1"/>
  <c r="X240" i="1" s="1"/>
  <c r="X184" i="1"/>
  <c r="X239" i="1"/>
  <c r="X185" i="1" l="1"/>
  <c r="Y240" i="1" s="1"/>
  <c r="Y184" i="1"/>
  <c r="Y239" i="1"/>
  <c r="V187" i="1"/>
  <c r="W242" i="1" s="1"/>
  <c r="W186" i="1"/>
  <c r="X241" i="1" s="1"/>
  <c r="V191" i="1" l="1"/>
  <c r="V233" i="1" s="1"/>
  <c r="X186" i="1"/>
  <c r="Y241" i="1" s="1"/>
  <c r="Y185" i="1"/>
  <c r="Z240" i="1" s="1"/>
  <c r="Z184" i="1"/>
  <c r="Z239" i="1"/>
  <c r="W187" i="1"/>
  <c r="X242" i="1" s="1"/>
  <c r="Z185" i="1" l="1"/>
  <c r="AA240" i="1" s="1"/>
  <c r="AA184" i="1"/>
  <c r="AA239" i="1"/>
  <c r="W191" i="1"/>
  <c r="W233" i="1" s="1"/>
  <c r="W235" i="1" s="1"/>
  <c r="X187" i="1"/>
  <c r="Y186" i="1"/>
  <c r="Z241" i="1" s="1"/>
  <c r="V236" i="1"/>
  <c r="V235" i="1"/>
  <c r="W236" i="1" l="1"/>
  <c r="Y187" i="1"/>
  <c r="Z242" i="1" s="1"/>
  <c r="Y242" i="1"/>
  <c r="X191" i="1"/>
  <c r="X233" i="1" s="1"/>
  <c r="X235" i="1" s="1"/>
  <c r="Z186" i="1"/>
  <c r="AA185" i="1"/>
  <c r="AB240" i="1" s="1"/>
  <c r="AB184" i="1"/>
  <c r="AB239" i="1"/>
  <c r="AA186" i="1" l="1"/>
  <c r="AB241" i="1" s="1"/>
  <c r="AB185" i="1"/>
  <c r="AC240" i="1" s="1"/>
  <c r="AC184" i="1"/>
  <c r="AC239" i="1"/>
  <c r="AA241" i="1"/>
  <c r="Z187" i="1"/>
  <c r="AA242" i="1" s="1"/>
  <c r="Y191" i="1"/>
  <c r="Y233" i="1" s="1"/>
  <c r="Y235" i="1" s="1"/>
  <c r="X236" i="1"/>
  <c r="AB186" i="1" l="1"/>
  <c r="AC241" i="1" s="1"/>
  <c r="Z191" i="1"/>
  <c r="Z233" i="1" s="1"/>
  <c r="Z235" i="1" s="1"/>
  <c r="AC185" i="1"/>
  <c r="AD240" i="1" s="1"/>
  <c r="AD184" i="1"/>
  <c r="AD239" i="1"/>
  <c r="AA187" i="1"/>
  <c r="Y236" i="1"/>
  <c r="Z236" i="1" s="1"/>
  <c r="AB242" i="1" l="1"/>
  <c r="AA191" i="1"/>
  <c r="AA233" i="1" s="1"/>
  <c r="AA235" i="1" s="1"/>
  <c r="AC186" i="1"/>
  <c r="AD241" i="1" s="1"/>
  <c r="AB187" i="1"/>
  <c r="AD185" i="1"/>
  <c r="AE240" i="1" s="1"/>
  <c r="AE184" i="1"/>
  <c r="AE239" i="1"/>
  <c r="AE185" i="1" l="1"/>
  <c r="AF240" i="1" s="1"/>
  <c r="AF184" i="1"/>
  <c r="AF239" i="1"/>
  <c r="AD186" i="1"/>
  <c r="AE241" i="1" s="1"/>
  <c r="AC242" i="1"/>
  <c r="AB191" i="1"/>
  <c r="AB233" i="1" s="1"/>
  <c r="AB235" i="1" s="1"/>
  <c r="AC187" i="1"/>
  <c r="AD242" i="1" s="1"/>
  <c r="AA236" i="1"/>
  <c r="AC191" i="1" l="1"/>
  <c r="AC233" i="1" s="1"/>
  <c r="AC235" i="1" s="1"/>
  <c r="AF185" i="1"/>
  <c r="AG240" i="1" s="1"/>
  <c r="AG184" i="1"/>
  <c r="AG239" i="1"/>
  <c r="AD187" i="1"/>
  <c r="AE242" i="1" s="1"/>
  <c r="AB236" i="1"/>
  <c r="AC236" i="1" s="1"/>
  <c r="AE186" i="1"/>
  <c r="AF241" i="1" s="1"/>
  <c r="AD191" i="1" l="1"/>
  <c r="AD233" i="1" s="1"/>
  <c r="AD235" i="1" s="1"/>
  <c r="AE187" i="1"/>
  <c r="AF242" i="1" s="1"/>
  <c r="AF186" i="1"/>
  <c r="AG241" i="1" s="1"/>
  <c r="AG185" i="1"/>
  <c r="AH240" i="1" s="1"/>
  <c r="AH184" i="1"/>
  <c r="AH239" i="1"/>
  <c r="AH185" i="1" l="1"/>
  <c r="AI240" i="1" s="1"/>
  <c r="AI184" i="1"/>
  <c r="AI239" i="1"/>
  <c r="AG186" i="1"/>
  <c r="AH241" i="1" s="1"/>
  <c r="AF187" i="1"/>
  <c r="AG242" i="1" s="1"/>
  <c r="AD236" i="1"/>
  <c r="AE191" i="1"/>
  <c r="AE233" i="1" s="1"/>
  <c r="AE235" i="1" s="1"/>
  <c r="AE236" i="1" l="1"/>
  <c r="AF191" i="1"/>
  <c r="AF233" i="1" s="1"/>
  <c r="AF235" i="1" s="1"/>
  <c r="AH186" i="1"/>
  <c r="AI241" i="1" s="1"/>
  <c r="AI185" i="1"/>
  <c r="AJ240" i="1" s="1"/>
  <c r="AJ184" i="1"/>
  <c r="AJ239" i="1"/>
  <c r="AG187" i="1"/>
  <c r="AH242" i="1" s="1"/>
  <c r="AF236" i="1" l="1"/>
  <c r="AJ185" i="1"/>
  <c r="AN184" i="1"/>
  <c r="AM184" i="1"/>
  <c r="AL184" i="1"/>
  <c r="AO184" i="1" s="1"/>
  <c r="F184" i="1" s="1"/>
  <c r="AI186" i="1"/>
  <c r="AG191" i="1"/>
  <c r="AG233" i="1" s="1"/>
  <c r="AG235" i="1" s="1"/>
  <c r="AH187" i="1"/>
  <c r="AI242" i="1" s="1"/>
  <c r="AJ241" i="1" l="1"/>
  <c r="AI187" i="1"/>
  <c r="AJ242" i="1" s="1"/>
  <c r="AL185" i="1"/>
  <c r="AN185" i="1"/>
  <c r="AM185" i="1"/>
  <c r="AG236" i="1"/>
  <c r="AJ186" i="1"/>
  <c r="AH191" i="1"/>
  <c r="AH233" i="1" s="1"/>
  <c r="AH235" i="1" s="1"/>
  <c r="AO185" i="1" l="1"/>
  <c r="F185" i="1" s="1"/>
  <c r="AJ187" i="1"/>
  <c r="AH236" i="1"/>
  <c r="AI191" i="1"/>
  <c r="AI233" i="1" s="1"/>
  <c r="AI235" i="1" s="1"/>
  <c r="AL186" i="1"/>
  <c r="AM186" i="1"/>
  <c r="AN186" i="1"/>
  <c r="AO186" i="1" l="1"/>
  <c r="F186" i="1" s="1"/>
  <c r="AI236" i="1"/>
  <c r="AM187" i="1"/>
  <c r="AL187" i="1"/>
  <c r="AN187" i="1"/>
  <c r="AJ191" i="1"/>
  <c r="AJ233" i="1" s="1"/>
  <c r="AJ235" i="1" l="1"/>
  <c r="F233" i="1"/>
  <c r="AO187" i="1"/>
  <c r="F187" i="1" s="1"/>
  <c r="F191" i="1" s="1"/>
  <c r="AJ2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Debra Starbuck</author>
  </authors>
  <commentList>
    <comment ref="C20" authorId="0" shapeId="0" xr:uid="{AA400AA6-119D-4307-9398-620A19C6F18A}">
      <text>
        <r>
          <rPr>
            <sz val="9"/>
            <color indexed="81"/>
            <rFont val="Tahoma"/>
            <family val="2"/>
          </rPr>
          <t xml:space="preserve">Lesser of Land Cost or Value;  inclusive of title work, recording fees and legal fees. </t>
        </r>
      </text>
    </comment>
    <comment ref="C120" authorId="0" shapeId="0" xr:uid="{E3227134-624A-4613-A285-A2164A88D474}">
      <text>
        <r>
          <rPr>
            <b/>
            <sz val="9"/>
            <color indexed="81"/>
            <rFont val="Tahoma"/>
            <family val="2"/>
          </rPr>
          <t>IRS defines syndication expenses as those "expenses connected with the issuing and marketing of interest in the partnership"  See 26 C.F.R.Section 1.709-2(b) for evidence of the below line item expenses.</t>
        </r>
        <r>
          <rPr>
            <sz val="9"/>
            <color indexed="81"/>
            <rFont val="Tahoma"/>
            <family val="2"/>
          </rPr>
          <t xml:space="preserve">
</t>
        </r>
      </text>
    </comment>
    <comment ref="C169" authorId="0" shapeId="0" xr:uid="{78F9730C-9AB9-49DD-8AF2-3C83B9D36C66}">
      <text>
        <r>
          <rPr>
            <sz val="9"/>
            <color indexed="81"/>
            <rFont val="Tahoma"/>
            <family val="2"/>
          </rPr>
          <t xml:space="preserve">Check tax credit agency restriction to determine whether consulting fees, construction management fees, any financial or other guarantee fees required for financing, and acquisition costs of the site in excess of appraised value must be paid out of the Developer Fee Limit.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<sst xmlns="http://schemas.openxmlformats.org/spreadsheetml/2006/main" count="185" uniqueCount="146">
  <si>
    <t>Tax Credits</t>
  </si>
  <si>
    <t>Section Navigation</t>
  </si>
  <si>
    <t>WHEDA Commercial Loan</t>
  </si>
  <si>
    <t>Construction Draw Schedule</t>
  </si>
  <si>
    <t>CLOSING</t>
  </si>
  <si>
    <t>Months of Const.</t>
  </si>
  <si>
    <t>Months from Clost to Perm Conv</t>
  </si>
  <si>
    <t>Month</t>
  </si>
  <si>
    <t>Draw #</t>
  </si>
  <si>
    <t>Draw #1</t>
  </si>
  <si>
    <t>Draw #2</t>
  </si>
  <si>
    <t>Draw #3</t>
  </si>
  <si>
    <t>Draw #4</t>
  </si>
  <si>
    <t>Draw #5</t>
  </si>
  <si>
    <t>Draw #6</t>
  </si>
  <si>
    <t>Draw #7</t>
  </si>
  <si>
    <t>Draw #8</t>
  </si>
  <si>
    <t>Draw #9</t>
  </si>
  <si>
    <t>Draw #10</t>
  </si>
  <si>
    <t>Draw #11</t>
  </si>
  <si>
    <t>Draw #12</t>
  </si>
  <si>
    <t>Draw #13</t>
  </si>
  <si>
    <t>Draw #14</t>
  </si>
  <si>
    <t>Draw #15</t>
  </si>
  <si>
    <t>Draw #16</t>
  </si>
  <si>
    <t>Draw #17</t>
  </si>
  <si>
    <t>Draw #18</t>
  </si>
  <si>
    <t>Draw $19</t>
  </si>
  <si>
    <t>Draw #20</t>
  </si>
  <si>
    <t>Draw #21</t>
  </si>
  <si>
    <t>Draw #22</t>
  </si>
  <si>
    <t>Draw #23</t>
  </si>
  <si>
    <t>Draw #24</t>
  </si>
  <si>
    <t>Draw #25</t>
  </si>
  <si>
    <t>Draw #26</t>
  </si>
  <si>
    <t>Draw #28</t>
  </si>
  <si>
    <t>Draw #29</t>
  </si>
  <si>
    <t>Draw #30</t>
  </si>
  <si>
    <t>When Payment Due</t>
  </si>
  <si>
    <t>Monthly % Construction Complete</t>
  </si>
  <si>
    <t>Cumulative % Construction Complete</t>
  </si>
  <si>
    <t>PROJECT BUDGET</t>
  </si>
  <si>
    <t>BALANCE REMAINING</t>
  </si>
  <si>
    <t>ACQUISITION</t>
  </si>
  <si>
    <t xml:space="preserve">Total Acquisition </t>
  </si>
  <si>
    <t>CONSTRUCTION RELATED EXPENSES</t>
  </si>
  <si>
    <t>NEW CONSTRUCTION &amp; REHAB</t>
  </si>
  <si>
    <t>Subtotal New Construction &amp; Rehab</t>
  </si>
  <si>
    <t>OFF-SITE WORK COSTS</t>
  </si>
  <si>
    <t xml:space="preserve">Subtotal Off-Site Costs </t>
  </si>
  <si>
    <t>SITE WORK COSTS</t>
  </si>
  <si>
    <t xml:space="preserve">Subtotal Site Costs </t>
  </si>
  <si>
    <t>CONTRACTOR FEES</t>
  </si>
  <si>
    <t>Builder's Risk Insurance</t>
  </si>
  <si>
    <t>Other Contractor Fees</t>
  </si>
  <si>
    <t xml:space="preserve">Subtotal Contractor Fees </t>
  </si>
  <si>
    <t xml:space="preserve">Total Construction Related </t>
  </si>
  <si>
    <t>CONTINGENCY FUNDS</t>
  </si>
  <si>
    <t>Total Contingency Costs</t>
  </si>
  <si>
    <t>CONSTRUCTION PERIOD EXPENSES</t>
  </si>
  <si>
    <t>LOCAL OR STATE AGENCY - RESIDENTIAL RELATED FEES &amp; EXPENSES</t>
  </si>
  <si>
    <t>Subtotal WHEDA Fees &amp; Expenses</t>
  </si>
  <si>
    <t>BOND RELATED EXPENSES</t>
  </si>
  <si>
    <t xml:space="preserve">Subtotal Bond Related Fees </t>
  </si>
  <si>
    <t>OTHER LENDER &amp; FINANCING RELATED EXPENSES</t>
  </si>
  <si>
    <t>See Row 197</t>
  </si>
  <si>
    <t>Subtotal Construction Lender &amp; Finance Fees</t>
  </si>
  <si>
    <t>OTHER CONSTRUCTION PERIOD SOFT COSTS</t>
  </si>
  <si>
    <t>Subtotal Construction Period Costs</t>
  </si>
  <si>
    <t>Total Construction Period Expense</t>
  </si>
  <si>
    <t>PERMANENT FINANCING EXPENSES</t>
  </si>
  <si>
    <t>Total Permanent Financing</t>
  </si>
  <si>
    <t>ARCHITECTURAL &amp; ENGINEERING EXPENSES</t>
  </si>
  <si>
    <t>Total Architectural &amp; Engineering</t>
  </si>
  <si>
    <t>SYNDICATION FEES &amp; EXPENSES</t>
  </si>
  <si>
    <t>Tax Opinion</t>
  </si>
  <si>
    <t>Total Syndication Fees &amp; Expenses</t>
  </si>
  <si>
    <t>CAPITALIZED RESERVES</t>
  </si>
  <si>
    <t>Total Capitalized Reserves</t>
  </si>
  <si>
    <t>REPORTS, STUDIES &amp; RELATED WORK</t>
  </si>
  <si>
    <t>Reports &amp; Studies</t>
  </si>
  <si>
    <t>Subtotal Reports &amp; Studies</t>
  </si>
  <si>
    <t>Additional Reports &amp; Studies</t>
  </si>
  <si>
    <t>Subtotal Additional Reports &amp; Studies</t>
  </si>
  <si>
    <t>Total Reports &amp; Studies</t>
  </si>
  <si>
    <t>OTHER SOFT COSTS</t>
  </si>
  <si>
    <t>Total Other Costs</t>
  </si>
  <si>
    <t xml:space="preserve">SUBTOTAL </t>
  </si>
  <si>
    <t>DEVELOPER EARNED FEES &amp; EXPENSES</t>
  </si>
  <si>
    <t>Total Developer Costs</t>
  </si>
  <si>
    <t>TOTAL DEVELOPMENT COST</t>
  </si>
  <si>
    <t>Cumulative Draws</t>
  </si>
  <si>
    <t>FUNDING SOURCES</t>
  </si>
  <si>
    <t>INTERIM Construction Financing Source</t>
  </si>
  <si>
    <t>Source of Funds</t>
  </si>
  <si>
    <t>Funders</t>
  </si>
  <si>
    <t>Total Amount</t>
  </si>
  <si>
    <t>Funds Debited</t>
  </si>
  <si>
    <t>Funds Credited</t>
  </si>
  <si>
    <t>Paid off</t>
  </si>
  <si>
    <t>Zero Out Balance?</t>
  </si>
  <si>
    <t>Total Construction Financing</t>
  </si>
  <si>
    <t>CONSTRUCTION INTEREST CALCULATION:</t>
  </si>
  <si>
    <t>Total Interest</t>
  </si>
  <si>
    <t>Rate</t>
  </si>
  <si>
    <t>Interest on Permanent Financing (if applicable)</t>
  </si>
  <si>
    <t>See Funding Sources</t>
  </si>
  <si>
    <t>Total</t>
  </si>
  <si>
    <t>*</t>
  </si>
  <si>
    <t>Line Item for Construction Interest in Project Cost:</t>
  </si>
  <si>
    <t>*Note: Consider updating your line item in the Project Costs &amp; Credit Calc section titled "Construction Period Interest Pymts" with this value</t>
  </si>
  <si>
    <t>PERMANENT Financing</t>
  </si>
  <si>
    <t>Source</t>
  </si>
  <si>
    <t>Loans:</t>
  </si>
  <si>
    <t>Grants:</t>
  </si>
  <si>
    <t>Equity and Other:</t>
  </si>
  <si>
    <t>TOTAL FUNDING SOURCE - ALL</t>
  </si>
  <si>
    <t>TOTAL FUNDING SOURCE - NET OF INTERIM CONSTRUCTION</t>
  </si>
  <si>
    <t>Difference</t>
  </si>
  <si>
    <t>Cumulative Funding Sources</t>
  </si>
  <si>
    <t>Interest Calculation Loan #1</t>
  </si>
  <si>
    <t>Interest Calculation Loan #2</t>
  </si>
  <si>
    <t>Interest Calculation Loan #3</t>
  </si>
  <si>
    <t>Interest Calculation Loan #4</t>
  </si>
  <si>
    <t>Interest Calculation Loan #5</t>
  </si>
  <si>
    <t>TOTAL CONSTRUCTION PERIOD INTEREST - Loan #1</t>
  </si>
  <si>
    <t>TOTAL CONSTRUCTION PERIOD INTEREST - Loan #2</t>
  </si>
  <si>
    <t>TOTAL CONSTRUCTION PERIOD INTEREST - Loan #3</t>
  </si>
  <si>
    <t>TOTAL CONSTRUCTION PERIOD INTEREST - Loan #4</t>
  </si>
  <si>
    <t>TOTAL CONSTRUCTION PERIOD INTEREST - Loan #5</t>
  </si>
  <si>
    <t>TOTAL CONSTRUCTION PERIOD INTEREST - Permanent Financing</t>
  </si>
  <si>
    <t>CROSS CHECK - CONSTRUCTION LOAN SIZING ESTIMATE (TOTAL):</t>
  </si>
  <si>
    <t>Construction Loan Needed:</t>
  </si>
  <si>
    <t>VS. in Total Construction Loan in Project Budget</t>
  </si>
  <si>
    <t>Applicant Notes:</t>
  </si>
  <si>
    <t xml:space="preserve">Please further describe: </t>
  </si>
  <si>
    <t xml:space="preserve">Internal Use Only: </t>
  </si>
  <si>
    <t>Underwriter Notes:</t>
  </si>
  <si>
    <t>LIHTC Equity</t>
  </si>
  <si>
    <t>Enter Lender Name</t>
  </si>
  <si>
    <t>Lender Name/Bond Issuer</t>
  </si>
  <si>
    <t>N/A for AHP</t>
  </si>
  <si>
    <t>Lender Name</t>
  </si>
  <si>
    <t>N/A for Home</t>
  </si>
  <si>
    <t>Specify Grantor</t>
  </si>
  <si>
    <t>Specify Investor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</si>
</sst>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quot;$&quot;#,##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22"/>
      <color rgb="FF005774"/>
      <name val="Calibri"/>
      <family val="2"/>
    </font>
    <font>
      <b/>
      <sz val="11"/>
      <color rgb="FFFF0000"/>
      <name val="Calibri"/>
      <family val="2"/>
    </font>
    <font>
      <sz val="11"/>
      <color rgb="FFFF0000"/>
      <name val="Calibri"/>
      <family val="2"/>
    </font>
    <font>
      <sz val="12"/>
      <color rgb="FF005774"/>
      <name val="Calibri"/>
      <family val="2"/>
    </font>
    <font>
      <b/>
      <sz val="14"/>
      <color theme="1"/>
      <name val="Calibri"/>
      <family val="2"/>
      <scheme val="minor"/>
    </font>
    <font>
      <b/>
      <sz val="14"/>
      <color rgb="FF000000"/>
      <name val="Calibri"/>
      <family val="2"/>
    </font>
    <font>
      <b/>
      <sz val="14"/>
      <color rgb="FF07A54E"/>
      <name val="Calibri"/>
      <family val="2"/>
    </font>
    <font>
      <u/>
      <sz val="11"/>
      <color theme="10"/>
      <name val="Calibri"/>
      <family val="2"/>
      <scheme val="minor"/>
    </font>
    <font>
      <u/>
      <sz val="12"/>
      <color rgb="FF02A69C"/>
      <name val="Calibri"/>
      <family val="2"/>
      <scheme val="minor"/>
    </font>
    <font>
      <sz val="12"/>
      <color rgb="FF000000"/>
      <name val="Calibri"/>
      <family val="2"/>
    </font>
    <font>
      <b/>
      <sz val="11"/>
      <color rgb="FF000000"/>
      <name val="Calibri"/>
      <family val="2"/>
    </font>
    <font>
      <sz val="11"/>
      <color rgb="FF000000"/>
      <name val="Calibri"/>
      <family val="2"/>
    </font>
    <font>
      <u/>
      <sz val="11"/>
      <color rgb="FF02A69C"/>
      <name val="Calibri"/>
      <family val="2"/>
      <scheme val="minor"/>
    </font>
    <font>
      <i/>
      <sz val="11"/>
      <color rgb="FF000000"/>
      <name val="Calibri"/>
      <family val="2"/>
    </font>
    <font>
      <b/>
      <sz val="11"/>
      <name val="Calibri"/>
      <family val="2"/>
    </font>
    <font>
      <sz val="10"/>
      <name val="Arial"/>
      <family val="2"/>
    </font>
    <font>
      <b/>
      <sz val="12"/>
      <color rgb="FFFFFFFF"/>
      <name val="Calibri"/>
      <family val="2"/>
    </font>
    <font>
      <sz val="10"/>
      <color rgb="FF000000"/>
      <name val="Calibri"/>
      <family val="2"/>
    </font>
    <font>
      <sz val="10"/>
      <color rgb="FFF2EDDC"/>
      <name val="Calibri"/>
      <family val="2"/>
    </font>
    <font>
      <b/>
      <sz val="10"/>
      <name val="Calibri"/>
      <family val="2"/>
    </font>
    <font>
      <b/>
      <sz val="11"/>
      <color rgb="FFFFFFFF"/>
      <name val="Calibri"/>
      <family val="2"/>
    </font>
    <font>
      <b/>
      <sz val="9"/>
      <color rgb="FF000000"/>
      <name val="Calibri"/>
      <family val="2"/>
    </font>
    <font>
      <b/>
      <sz val="9"/>
      <name val="Calibri"/>
      <family val="2"/>
    </font>
    <font>
      <sz val="10"/>
      <name val="Calibri"/>
      <family val="2"/>
    </font>
    <font>
      <sz val="11"/>
      <color rgb="FFF2EDDC"/>
      <name val="Calibri"/>
      <family val="2"/>
    </font>
    <font>
      <u/>
      <sz val="11"/>
      <color theme="0"/>
      <name val="Calibri"/>
      <family val="2"/>
      <scheme val="minor"/>
    </font>
    <font>
      <sz val="9"/>
      <color rgb="FF000000"/>
      <name val="Calibri"/>
      <family val="2"/>
    </font>
    <font>
      <sz val="9"/>
      <color rgb="FFF2EDDC"/>
      <name val="Calibri"/>
      <family val="2"/>
    </font>
    <font>
      <b/>
      <sz val="14"/>
      <name val="Calibri"/>
      <family val="2"/>
    </font>
    <font>
      <b/>
      <sz val="12"/>
      <color rgb="FF000000"/>
      <name val="Calibri"/>
      <family val="2"/>
    </font>
    <font>
      <b/>
      <sz val="10"/>
      <color rgb="FF000000"/>
      <name val="Calibri"/>
      <family val="2"/>
    </font>
    <font>
      <b/>
      <i/>
      <sz val="10"/>
      <name val="Calibri"/>
      <family val="2"/>
    </font>
    <font>
      <b/>
      <i/>
      <sz val="11"/>
      <name val="Calibri"/>
      <family val="2"/>
    </font>
    <font>
      <i/>
      <sz val="11"/>
      <name val="Calibri"/>
      <family val="2"/>
    </font>
    <font>
      <sz val="11"/>
      <color theme="0"/>
      <name val="Calibri"/>
      <family val="2"/>
    </font>
    <font>
      <sz val="11"/>
      <color rgb="FFFFFFFF"/>
      <name val="Calibri"/>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2EDDC"/>
        <bgColor rgb="FF000000"/>
      </patternFill>
    </fill>
    <fill>
      <patternFill patternType="solid">
        <fgColor rgb="FFF2EDDC"/>
        <bgColor indexed="64"/>
      </patternFill>
    </fill>
    <fill>
      <patternFill patternType="solid">
        <fgColor rgb="FFFFFF99"/>
        <bgColor indexed="64"/>
      </patternFill>
    </fill>
    <fill>
      <patternFill patternType="solid">
        <fgColor rgb="FF9BC2E6"/>
        <bgColor rgb="FF000000"/>
      </patternFill>
    </fill>
    <fill>
      <patternFill patternType="solid">
        <fgColor rgb="FFBDD7EE"/>
        <bgColor rgb="FF000000"/>
      </patternFill>
    </fill>
    <fill>
      <patternFill patternType="solid">
        <fgColor rgb="FFFFFF99"/>
        <bgColor rgb="FF000000"/>
      </patternFill>
    </fill>
    <fill>
      <patternFill patternType="solid">
        <fgColor rgb="FF000000"/>
        <bgColor rgb="FF000000"/>
      </patternFill>
    </fill>
    <fill>
      <patternFill patternType="solid">
        <fgColor rgb="FFFCE4D6"/>
        <bgColor rgb="FF000000"/>
      </patternFill>
    </fill>
    <fill>
      <patternFill patternType="solid">
        <fgColor rgb="FFE2EFDA"/>
        <bgColor rgb="FF000000"/>
      </patternFill>
    </fill>
    <fill>
      <patternFill patternType="solid">
        <fgColor rgb="FFD9E1F2"/>
        <bgColor rgb="FF000000"/>
      </patternFill>
    </fill>
    <fill>
      <patternFill patternType="solid">
        <fgColor rgb="FFB4C6E7"/>
        <bgColor rgb="FF000000"/>
      </patternFill>
    </fill>
    <fill>
      <patternFill patternType="solid">
        <fgColor rgb="FF92D050"/>
        <bgColor indexed="64"/>
      </patternFill>
    </fill>
    <fill>
      <patternFill patternType="solid">
        <fgColor rgb="FF92D050"/>
        <bgColor rgb="FF000000"/>
      </patternFill>
    </fill>
  </fills>
  <borders count="12">
    <border>
      <left/>
      <right/>
      <top/>
      <bottom/>
      <diagonal/>
    </border>
    <border>
      <left/>
      <right style="thin">
        <color indexed="64"/>
      </right>
      <top style="thin">
        <color rgb="FF80818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20" fillId="0" borderId="0"/>
  </cellStyleXfs>
  <cellXfs count="169">
    <xf numFmtId="0" fontId="0" fillId="0" borderId="0" xfId="0"/>
    <xf numFmtId="0" fontId="0" fillId="2" borderId="0" xfId="0" applyFill="1"/>
    <xf numFmtId="0" fontId="3" fillId="3" borderId="0" xfId="0" applyFont="1" applyFill="1"/>
    <xf numFmtId="0" fontId="3" fillId="0" borderId="0" xfId="0" applyFont="1"/>
    <xf numFmtId="0" fontId="3" fillId="4" borderId="0" xfId="0" applyFont="1" applyFill="1"/>
    <xf numFmtId="0" fontId="3" fillId="2" borderId="0" xfId="0" applyFont="1" applyFill="1"/>
    <xf numFmtId="0" fontId="4" fillId="2" borderId="0" xfId="0" applyFont="1" applyFill="1"/>
    <xf numFmtId="0" fontId="5" fillId="3" borderId="0" xfId="0" applyFont="1" applyFill="1"/>
    <xf numFmtId="0" fontId="6" fillId="3" borderId="0" xfId="0" applyFont="1" applyFill="1"/>
    <xf numFmtId="0" fontId="7" fillId="3" borderId="0" xfId="0" applyFont="1" applyFill="1"/>
    <xf numFmtId="0" fontId="8" fillId="3" borderId="0" xfId="0" applyFont="1" applyFill="1"/>
    <xf numFmtId="0" fontId="9" fillId="2" borderId="1" xfId="0" applyFont="1" applyFill="1" applyBorder="1" applyAlignment="1">
      <alignment horizontal="center" vertical="center"/>
    </xf>
    <xf numFmtId="0" fontId="10" fillId="3" borderId="2" xfId="0" applyFont="1" applyFill="1" applyBorder="1" applyAlignment="1">
      <alignment horizontal="center" vertical="center"/>
    </xf>
    <xf numFmtId="0" fontId="11" fillId="3" borderId="2" xfId="0" applyFont="1" applyFill="1" applyBorder="1"/>
    <xf numFmtId="0" fontId="3" fillId="3" borderId="2" xfId="0" applyFont="1" applyFill="1" applyBorder="1"/>
    <xf numFmtId="0" fontId="3" fillId="4" borderId="2" xfId="0" applyFont="1" applyFill="1" applyBorder="1"/>
    <xf numFmtId="0" fontId="3" fillId="2" borderId="2" xfId="0" applyFont="1" applyFill="1" applyBorder="1"/>
    <xf numFmtId="0" fontId="13" fillId="2" borderId="0" xfId="4" applyFont="1" applyFill="1" applyBorder="1" applyProtection="1">
      <protection locked="0"/>
    </xf>
    <xf numFmtId="0" fontId="14" fillId="5" borderId="0" xfId="0" applyFont="1" applyFill="1" applyAlignment="1">
      <alignment horizontal="center" vertical="center"/>
    </xf>
    <xf numFmtId="0" fontId="2" fillId="6" borderId="0" xfId="0" applyFont="1" applyFill="1" applyAlignment="1">
      <alignment horizontal="right"/>
    </xf>
    <xf numFmtId="14" fontId="0" fillId="7" borderId="3" xfId="0" applyNumberFormat="1" applyFill="1" applyBorder="1"/>
    <xf numFmtId="0" fontId="2" fillId="6" borderId="0" xfId="0" applyFont="1" applyFill="1" applyAlignment="1">
      <alignment horizontal="right" indent="1"/>
    </xf>
    <xf numFmtId="0" fontId="0" fillId="7" borderId="3" xfId="0" applyFill="1" applyBorder="1"/>
    <xf numFmtId="0" fontId="0" fillId="6" borderId="0" xfId="0" applyFill="1"/>
    <xf numFmtId="0" fontId="11" fillId="3" borderId="4" xfId="0" applyFont="1" applyFill="1" applyBorder="1"/>
    <xf numFmtId="0" fontId="15" fillId="2" borderId="0" xfId="0" applyFont="1" applyFill="1"/>
    <xf numFmtId="0" fontId="16" fillId="2" borderId="0" xfId="0" applyFont="1" applyFill="1"/>
    <xf numFmtId="0" fontId="3" fillId="6" borderId="0" xfId="0" applyFont="1" applyFill="1"/>
    <xf numFmtId="0" fontId="15" fillId="8" borderId="3" xfId="0" applyFont="1" applyFill="1" applyBorder="1" applyAlignment="1">
      <alignment horizontal="center" vertical="center" wrapText="1"/>
    </xf>
    <xf numFmtId="0" fontId="17" fillId="2" borderId="0" xfId="4" applyFont="1" applyFill="1" applyBorder="1" applyProtection="1">
      <protection locked="0"/>
    </xf>
    <xf numFmtId="0" fontId="3" fillId="9" borderId="3" xfId="0" applyFont="1" applyFill="1" applyBorder="1" applyAlignment="1">
      <alignment horizontal="right"/>
    </xf>
    <xf numFmtId="17" fontId="3" fillId="9" borderId="3" xfId="0" applyNumberFormat="1" applyFont="1" applyFill="1" applyBorder="1" applyAlignment="1">
      <alignment horizontal="right"/>
    </xf>
    <xf numFmtId="0" fontId="3" fillId="5" borderId="3" xfId="0" applyFont="1" applyFill="1" applyBorder="1"/>
    <xf numFmtId="0" fontId="3" fillId="5" borderId="3" xfId="0" applyFont="1" applyFill="1" applyBorder="1" applyAlignment="1">
      <alignment horizontal="right"/>
    </xf>
    <xf numFmtId="164" fontId="3" fillId="0" borderId="3" xfId="0" applyNumberFormat="1" applyFont="1" applyBorder="1" applyProtection="1">
      <protection locked="0"/>
    </xf>
    <xf numFmtId="9" fontId="3" fillId="10" borderId="3" xfId="0" applyNumberFormat="1" applyFont="1" applyFill="1" applyBorder="1"/>
    <xf numFmtId="17" fontId="3" fillId="5" borderId="3" xfId="0" applyNumberFormat="1" applyFont="1" applyFill="1" applyBorder="1"/>
    <xf numFmtId="0" fontId="19" fillId="5" borderId="3" xfId="0" applyFont="1" applyFill="1" applyBorder="1" applyAlignment="1">
      <alignment horizontal="left" vertical="center"/>
    </xf>
    <xf numFmtId="165" fontId="3" fillId="5" borderId="3" xfId="1" applyNumberFormat="1" applyFont="1" applyFill="1" applyBorder="1" applyProtection="1"/>
    <xf numFmtId="0" fontId="21" fillId="11" borderId="3" xfId="5" applyFont="1" applyFill="1" applyBorder="1" applyAlignment="1">
      <alignment horizontal="left" vertical="center"/>
    </xf>
    <xf numFmtId="38" fontId="3" fillId="11" borderId="3" xfId="1" applyNumberFormat="1" applyFont="1" applyFill="1" applyBorder="1" applyProtection="1"/>
    <xf numFmtId="0" fontId="22" fillId="5" borderId="3" xfId="0" applyFont="1" applyFill="1" applyBorder="1" applyAlignment="1">
      <alignment horizontal="left" vertical="center"/>
    </xf>
    <xf numFmtId="0" fontId="23" fillId="5" borderId="3" xfId="0" applyFont="1" applyFill="1" applyBorder="1" applyAlignment="1">
      <alignment horizontal="left" vertical="center"/>
    </xf>
    <xf numFmtId="166" fontId="3" fillId="10" borderId="3" xfId="1" applyNumberFormat="1" applyFont="1" applyFill="1" applyBorder="1" applyProtection="1"/>
    <xf numFmtId="166" fontId="3" fillId="0" borderId="3" xfId="1" applyNumberFormat="1" applyFont="1" applyFill="1" applyBorder="1" applyProtection="1">
      <protection locked="0"/>
    </xf>
    <xf numFmtId="0" fontId="22" fillId="5" borderId="3" xfId="0" applyFont="1" applyFill="1" applyBorder="1" applyAlignment="1">
      <alignment horizontal="left"/>
    </xf>
    <xf numFmtId="0" fontId="23" fillId="5" borderId="3" xfId="0" applyFont="1" applyFill="1" applyBorder="1" applyAlignment="1">
      <alignment horizontal="left"/>
    </xf>
    <xf numFmtId="166" fontId="16" fillId="5" borderId="3" xfId="1" applyNumberFormat="1" applyFont="1" applyFill="1" applyBorder="1" applyAlignment="1" applyProtection="1">
      <alignment horizontal="right"/>
    </xf>
    <xf numFmtId="166" fontId="3" fillId="5" borderId="3" xfId="1" applyNumberFormat="1" applyFont="1" applyFill="1" applyBorder="1" applyProtection="1"/>
    <xf numFmtId="166" fontId="3" fillId="6" borderId="3" xfId="1" applyNumberFormat="1" applyFont="1" applyFill="1" applyBorder="1" applyProtection="1"/>
    <xf numFmtId="0" fontId="24" fillId="12" borderId="3" xfId="0" applyFont="1" applyFill="1" applyBorder="1" applyAlignment="1">
      <alignment horizontal="left" vertical="center"/>
    </xf>
    <xf numFmtId="166" fontId="15" fillId="12" borderId="3" xfId="1" applyNumberFormat="1" applyFont="1" applyFill="1" applyBorder="1" applyAlignment="1" applyProtection="1">
      <alignment horizontal="right"/>
    </xf>
    <xf numFmtId="166" fontId="15" fillId="12" borderId="3" xfId="1" applyNumberFormat="1" applyFont="1" applyFill="1" applyBorder="1" applyProtection="1"/>
    <xf numFmtId="0" fontId="21" fillId="11" borderId="3" xfId="0" applyFont="1" applyFill="1" applyBorder="1" applyAlignment="1">
      <alignment horizontal="left" vertical="center"/>
    </xf>
    <xf numFmtId="166" fontId="3" fillId="11" borderId="3" xfId="1" applyNumberFormat="1" applyFont="1" applyFill="1" applyBorder="1" applyProtection="1"/>
    <xf numFmtId="0" fontId="26" fillId="13" borderId="3" xfId="0" applyFont="1" applyFill="1" applyBorder="1" applyAlignment="1">
      <alignment horizontal="left" vertical="center"/>
    </xf>
    <xf numFmtId="166" fontId="3" fillId="13" borderId="3" xfId="1" applyNumberFormat="1" applyFont="1" applyFill="1" applyBorder="1" applyProtection="1"/>
    <xf numFmtId="0" fontId="24" fillId="14" borderId="3" xfId="0" applyFont="1" applyFill="1" applyBorder="1" applyAlignment="1">
      <alignment horizontal="right" vertical="center"/>
    </xf>
    <xf numFmtId="166" fontId="3" fillId="14" borderId="3" xfId="1" applyNumberFormat="1" applyFont="1" applyFill="1" applyBorder="1" applyProtection="1"/>
    <xf numFmtId="0" fontId="27" fillId="13" borderId="3" xfId="0" applyFont="1" applyFill="1" applyBorder="1" applyAlignment="1">
      <alignment horizontal="left" vertical="center"/>
    </xf>
    <xf numFmtId="0" fontId="28" fillId="5" borderId="3" xfId="0" applyFont="1" applyFill="1" applyBorder="1" applyAlignment="1">
      <alignment horizontal="left" vertical="center"/>
    </xf>
    <xf numFmtId="166" fontId="29" fillId="5" borderId="3" xfId="1" applyNumberFormat="1" applyFont="1" applyFill="1" applyBorder="1" applyProtection="1"/>
    <xf numFmtId="166" fontId="29" fillId="6" borderId="3" xfId="1" applyNumberFormat="1" applyFont="1" applyFill="1" applyBorder="1" applyProtection="1"/>
    <xf numFmtId="0" fontId="30" fillId="2" borderId="0" xfId="4" applyFont="1" applyFill="1" applyBorder="1" applyProtection="1">
      <protection locked="0"/>
    </xf>
    <xf numFmtId="0" fontId="24" fillId="13" borderId="3" xfId="0" applyFont="1" applyFill="1" applyBorder="1" applyAlignment="1">
      <alignment horizontal="left" vertical="center"/>
    </xf>
    <xf numFmtId="38" fontId="3" fillId="0" borderId="3" xfId="1" applyNumberFormat="1" applyFont="1" applyFill="1" applyBorder="1" applyProtection="1">
      <protection locked="0"/>
    </xf>
    <xf numFmtId="166" fontId="16" fillId="14" borderId="3" xfId="1" applyNumberFormat="1" applyFont="1" applyFill="1" applyBorder="1" applyProtection="1"/>
    <xf numFmtId="0" fontId="26" fillId="13" borderId="3" xfId="0" applyFont="1" applyFill="1" applyBorder="1" applyAlignment="1">
      <alignment horizontal="left" vertical="center" shrinkToFit="1"/>
    </xf>
    <xf numFmtId="166" fontId="4" fillId="10" borderId="3" xfId="1" applyNumberFormat="1" applyFont="1" applyFill="1" applyBorder="1" applyProtection="1"/>
    <xf numFmtId="166" fontId="4" fillId="0" borderId="3" xfId="1" applyNumberFormat="1" applyFont="1" applyFill="1" applyBorder="1" applyProtection="1">
      <protection locked="0"/>
    </xf>
    <xf numFmtId="166" fontId="6" fillId="0" borderId="3" xfId="1" applyNumberFormat="1" applyFont="1" applyFill="1" applyBorder="1" applyProtection="1">
      <protection locked="0"/>
    </xf>
    <xf numFmtId="38" fontId="6" fillId="10" borderId="3" xfId="1" applyNumberFormat="1" applyFont="1" applyFill="1" applyBorder="1" applyProtection="1"/>
    <xf numFmtId="166" fontId="6" fillId="10" borderId="3" xfId="1" applyNumberFormat="1" applyFont="1" applyFill="1" applyBorder="1" applyProtection="1"/>
    <xf numFmtId="166" fontId="7" fillId="0" borderId="3" xfId="1" applyNumberFormat="1" applyFont="1" applyBorder="1" applyProtection="1">
      <protection locked="0"/>
    </xf>
    <xf numFmtId="166" fontId="7" fillId="0" borderId="3" xfId="1" applyNumberFormat="1" applyFont="1" applyFill="1" applyBorder="1" applyProtection="1">
      <protection locked="0"/>
    </xf>
    <xf numFmtId="166" fontId="6" fillId="13" borderId="3" xfId="1" applyNumberFormat="1" applyFont="1" applyFill="1" applyBorder="1" applyProtection="1"/>
    <xf numFmtId="0" fontId="21" fillId="11" borderId="3" xfId="0" applyFont="1" applyFill="1" applyBorder="1" applyAlignment="1">
      <alignment vertical="center"/>
    </xf>
    <xf numFmtId="0" fontId="31" fillId="5" borderId="3" xfId="0" applyFont="1" applyFill="1" applyBorder="1" applyAlignment="1">
      <alignment horizontal="left" vertical="center"/>
    </xf>
    <xf numFmtId="0" fontId="32" fillId="5" borderId="3" xfId="0" applyFont="1" applyFill="1" applyBorder="1" applyAlignment="1">
      <alignment horizontal="left" vertical="center"/>
    </xf>
    <xf numFmtId="0" fontId="31" fillId="5" borderId="3" xfId="0" applyFont="1" applyFill="1" applyBorder="1" applyAlignment="1">
      <alignment horizontal="left"/>
    </xf>
    <xf numFmtId="0" fontId="32" fillId="5" borderId="3" xfId="0" applyFont="1" applyFill="1" applyBorder="1" applyAlignment="1">
      <alignment horizontal="left"/>
    </xf>
    <xf numFmtId="166" fontId="15" fillId="0" borderId="3" xfId="1" applyNumberFormat="1" applyFont="1" applyFill="1" applyBorder="1" applyProtection="1">
      <protection locked="0"/>
    </xf>
    <xf numFmtId="0" fontId="19" fillId="5" borderId="3" xfId="0" applyFont="1" applyFill="1" applyBorder="1" applyAlignment="1">
      <alignment horizontal="right" vertical="center" indent="1"/>
    </xf>
    <xf numFmtId="166" fontId="15" fillId="10" borderId="3" xfId="1" applyNumberFormat="1" applyFont="1" applyFill="1" applyBorder="1" applyProtection="1"/>
    <xf numFmtId="166" fontId="16" fillId="10" borderId="3" xfId="1" applyNumberFormat="1" applyFont="1" applyFill="1" applyBorder="1" applyProtection="1"/>
    <xf numFmtId="166" fontId="16" fillId="0" borderId="3" xfId="1" applyNumberFormat="1" applyFont="1" applyFill="1" applyBorder="1" applyProtection="1">
      <protection locked="0"/>
    </xf>
    <xf numFmtId="0" fontId="33" fillId="5" borderId="3" xfId="0" applyFont="1" applyFill="1" applyBorder="1" applyAlignment="1">
      <alignment horizontal="left" vertical="center"/>
    </xf>
    <xf numFmtId="166" fontId="34" fillId="10" borderId="3" xfId="1" applyNumberFormat="1" applyFont="1" applyFill="1" applyBorder="1" applyProtection="1"/>
    <xf numFmtId="0" fontId="35" fillId="6" borderId="0" xfId="0" applyFont="1" applyFill="1" applyAlignment="1">
      <alignment horizontal="left" vertical="center"/>
    </xf>
    <xf numFmtId="166" fontId="15" fillId="6" borderId="0" xfId="1" applyNumberFormat="1" applyFont="1" applyFill="1" applyBorder="1" applyProtection="1"/>
    <xf numFmtId="166" fontId="3" fillId="6" borderId="0" xfId="1" applyNumberFormat="1" applyFont="1" applyFill="1" applyBorder="1" applyProtection="1"/>
    <xf numFmtId="0" fontId="36" fillId="15" borderId="3" xfId="0" applyFont="1" applyFill="1" applyBorder="1" applyAlignment="1">
      <alignment horizontal="left" vertical="center"/>
    </xf>
    <xf numFmtId="166" fontId="37" fillId="15" borderId="3" xfId="1" applyNumberFormat="1" applyFont="1" applyFill="1" applyBorder="1" applyProtection="1"/>
    <xf numFmtId="166" fontId="38" fillId="15" borderId="3" xfId="1" applyNumberFormat="1" applyFont="1" applyFill="1" applyBorder="1" applyProtection="1"/>
    <xf numFmtId="38" fontId="3" fillId="6" borderId="0" xfId="1" applyNumberFormat="1" applyFont="1" applyFill="1" applyBorder="1" applyProtection="1"/>
    <xf numFmtId="0" fontId="39" fillId="2" borderId="0" xfId="0" applyFont="1" applyFill="1"/>
    <xf numFmtId="0" fontId="33" fillId="6" borderId="0" xfId="0" applyFont="1" applyFill="1" applyAlignment="1">
      <alignment horizontal="left" vertical="center"/>
    </xf>
    <xf numFmtId="0" fontId="25" fillId="11" borderId="3" xfId="0" applyFont="1" applyFill="1" applyBorder="1"/>
    <xf numFmtId="38" fontId="40" fillId="11" borderId="3" xfId="1" applyNumberFormat="1" applyFont="1" applyFill="1" applyBorder="1" applyProtection="1"/>
    <xf numFmtId="0" fontId="15" fillId="8" borderId="3" xfId="0" applyFont="1" applyFill="1" applyBorder="1"/>
    <xf numFmtId="38" fontId="15" fillId="8" borderId="3" xfId="1" applyNumberFormat="1" applyFont="1" applyFill="1" applyBorder="1" applyAlignment="1" applyProtection="1">
      <alignment horizontal="center" vertical="center" wrapText="1"/>
    </xf>
    <xf numFmtId="49" fontId="15" fillId="8" borderId="3" xfId="1" applyNumberFormat="1" applyFont="1" applyFill="1" applyBorder="1" applyAlignment="1" applyProtection="1">
      <alignment horizontal="center" vertical="center" wrapText="1"/>
    </xf>
    <xf numFmtId="0" fontId="16" fillId="10" borderId="3" xfId="0" applyFont="1" applyFill="1" applyBorder="1"/>
    <xf numFmtId="166" fontId="16" fillId="10" borderId="3" xfId="1" applyNumberFormat="1" applyFont="1" applyFill="1" applyBorder="1"/>
    <xf numFmtId="166" fontId="3" fillId="0" borderId="3" xfId="1" applyNumberFormat="1" applyFont="1" applyBorder="1" applyProtection="1">
      <protection locked="0"/>
    </xf>
    <xf numFmtId="0" fontId="15" fillId="10" borderId="3" xfId="0" applyFont="1" applyFill="1" applyBorder="1"/>
    <xf numFmtId="0" fontId="3" fillId="10" borderId="3" xfId="0" applyFont="1" applyFill="1" applyBorder="1"/>
    <xf numFmtId="10" fontId="3" fillId="10" borderId="3" xfId="3" applyNumberFormat="1" applyFont="1" applyFill="1" applyBorder="1" applyProtection="1"/>
    <xf numFmtId="166" fontId="3" fillId="4" borderId="3" xfId="1" applyNumberFormat="1" applyFont="1" applyFill="1" applyBorder="1" applyProtection="1">
      <protection locked="0"/>
    </xf>
    <xf numFmtId="166" fontId="3" fillId="10" borderId="3" xfId="0" applyNumberFormat="1" applyFont="1" applyFill="1" applyBorder="1"/>
    <xf numFmtId="38" fontId="3" fillId="5" borderId="3" xfId="1" applyNumberFormat="1" applyFont="1" applyFill="1" applyBorder="1" applyProtection="1"/>
    <xf numFmtId="0" fontId="3" fillId="5" borderId="0" xfId="0" applyFont="1" applyFill="1"/>
    <xf numFmtId="38" fontId="3" fillId="5" borderId="0" xfId="1" applyNumberFormat="1" applyFont="1" applyFill="1" applyBorder="1" applyProtection="1"/>
    <xf numFmtId="38" fontId="3" fillId="5" borderId="0" xfId="1" quotePrefix="1" applyNumberFormat="1" applyFont="1" applyFill="1" applyBorder="1" applyProtection="1"/>
    <xf numFmtId="0" fontId="15" fillId="5" borderId="3" xfId="0" applyFont="1" applyFill="1" applyBorder="1"/>
    <xf numFmtId="38" fontId="15" fillId="5" borderId="3" xfId="1" applyNumberFormat="1" applyFont="1" applyFill="1" applyBorder="1" applyAlignment="1" applyProtection="1">
      <alignment horizontal="center" vertical="center" wrapText="1"/>
    </xf>
    <xf numFmtId="166" fontId="15" fillId="5" borderId="3" xfId="0" applyNumberFormat="1" applyFont="1" applyFill="1" applyBorder="1"/>
    <xf numFmtId="38" fontId="16" fillId="5" borderId="3" xfId="1" applyNumberFormat="1" applyFont="1" applyFill="1" applyBorder="1" applyProtection="1"/>
    <xf numFmtId="38" fontId="3" fillId="10" borderId="3" xfId="1" applyNumberFormat="1" applyFont="1" applyFill="1" applyBorder="1" applyProtection="1"/>
    <xf numFmtId="38" fontId="16" fillId="10" borderId="3" xfId="1" applyNumberFormat="1" applyFont="1" applyFill="1" applyBorder="1" applyProtection="1"/>
    <xf numFmtId="38" fontId="18" fillId="5" borderId="3" xfId="1" applyNumberFormat="1" applyFont="1" applyFill="1" applyBorder="1" applyProtection="1"/>
    <xf numFmtId="38" fontId="18" fillId="10" borderId="3" xfId="1" applyNumberFormat="1" applyFont="1" applyFill="1" applyBorder="1" applyProtection="1"/>
    <xf numFmtId="38" fontId="37" fillId="15" borderId="3" xfId="1" applyNumberFormat="1" applyFont="1" applyFill="1" applyBorder="1" applyProtection="1"/>
    <xf numFmtId="38" fontId="38" fillId="15" borderId="3" xfId="1" applyNumberFormat="1" applyFont="1" applyFill="1" applyBorder="1" applyProtection="1"/>
    <xf numFmtId="38" fontId="15" fillId="8" borderId="3" xfId="1" applyNumberFormat="1" applyFont="1" applyFill="1" applyBorder="1" applyAlignment="1" applyProtection="1">
      <alignment horizontal="left" vertical="center"/>
    </xf>
    <xf numFmtId="38" fontId="15" fillId="8" borderId="3" xfId="1" applyNumberFormat="1" applyFont="1" applyFill="1" applyBorder="1" applyAlignment="1" applyProtection="1">
      <alignment horizontal="center" vertical="center"/>
    </xf>
    <xf numFmtId="165" fontId="3" fillId="10" borderId="3" xfId="1" quotePrefix="1" applyNumberFormat="1" applyFont="1" applyFill="1" applyBorder="1" applyProtection="1"/>
    <xf numFmtId="165" fontId="3" fillId="10" borderId="3" xfId="1" applyNumberFormat="1" applyFont="1" applyFill="1" applyBorder="1" applyProtection="1"/>
    <xf numFmtId="38" fontId="3" fillId="2" borderId="0" xfId="1" applyNumberFormat="1" applyFont="1" applyFill="1" applyBorder="1" applyProtection="1"/>
    <xf numFmtId="0" fontId="11" fillId="4" borderId="0" xfId="0" applyFont="1" applyFill="1"/>
    <xf numFmtId="0" fontId="15" fillId="4" borderId="0" xfId="0" applyFont="1" applyFill="1"/>
    <xf numFmtId="0" fontId="3" fillId="4" borderId="0" xfId="0" applyFont="1" applyFill="1" applyAlignment="1">
      <alignment horizontal="left" wrapText="1"/>
    </xf>
    <xf numFmtId="0" fontId="15" fillId="5" borderId="0" xfId="0" applyFont="1" applyFill="1"/>
    <xf numFmtId="0" fontId="14" fillId="4" borderId="0" xfId="0" applyFont="1" applyFill="1" applyAlignment="1">
      <alignment wrapText="1"/>
    </xf>
    <xf numFmtId="0" fontId="6" fillId="4" borderId="2" xfId="0" applyFont="1" applyFill="1" applyBorder="1"/>
    <xf numFmtId="0" fontId="4" fillId="0" borderId="0" xfId="0" applyFont="1"/>
    <xf numFmtId="14" fontId="18" fillId="16" borderId="5" xfId="0" applyNumberFormat="1" applyFont="1" applyFill="1" applyBorder="1" applyProtection="1">
      <protection locked="0"/>
    </xf>
    <xf numFmtId="0" fontId="18" fillId="16" borderId="5" xfId="0" applyFont="1" applyFill="1" applyBorder="1" applyProtection="1">
      <protection locked="0"/>
    </xf>
    <xf numFmtId="166" fontId="16" fillId="10" borderId="3" xfId="1" applyNumberFormat="1" applyFont="1" applyFill="1" applyBorder="1" applyAlignment="1" applyProtection="1">
      <alignment horizontal="right"/>
      <protection locked="0"/>
    </xf>
    <xf numFmtId="166" fontId="25" fillId="11" borderId="3" xfId="0" applyNumberFormat="1" applyFont="1" applyFill="1" applyBorder="1" applyAlignment="1" applyProtection="1">
      <alignment horizontal="right" vertical="center"/>
      <protection locked="0"/>
    </xf>
    <xf numFmtId="166" fontId="15" fillId="13" borderId="3" xfId="0" applyNumberFormat="1" applyFont="1" applyFill="1" applyBorder="1" applyAlignment="1" applyProtection="1">
      <alignment horizontal="right" vertical="center"/>
      <protection locked="0"/>
    </xf>
    <xf numFmtId="166" fontId="19" fillId="14" borderId="3" xfId="0" applyNumberFormat="1" applyFont="1" applyFill="1" applyBorder="1" applyAlignment="1" applyProtection="1">
      <alignment horizontal="right" vertical="center"/>
      <protection locked="0"/>
    </xf>
    <xf numFmtId="166" fontId="19" fillId="13" borderId="3" xfId="0" applyNumberFormat="1" applyFont="1" applyFill="1" applyBorder="1" applyAlignment="1" applyProtection="1">
      <alignment horizontal="right" vertical="center"/>
      <protection locked="0"/>
    </xf>
    <xf numFmtId="166" fontId="29" fillId="5" borderId="3" xfId="1" applyNumberFormat="1" applyFont="1" applyFill="1" applyBorder="1" applyAlignment="1" applyProtection="1">
      <alignment horizontal="right"/>
      <protection locked="0"/>
    </xf>
    <xf numFmtId="166" fontId="16" fillId="11" borderId="3" xfId="1" applyNumberFormat="1" applyFont="1" applyFill="1" applyBorder="1" applyAlignment="1" applyProtection="1">
      <alignment horizontal="right"/>
      <protection locked="0"/>
    </xf>
    <xf numFmtId="166" fontId="15" fillId="10" borderId="3" xfId="1" applyNumberFormat="1" applyFont="1" applyFill="1" applyBorder="1" applyAlignment="1" applyProtection="1">
      <alignment horizontal="right"/>
      <protection locked="0"/>
    </xf>
    <xf numFmtId="0" fontId="25" fillId="11" borderId="3" xfId="0" applyFont="1" applyFill="1" applyBorder="1" applyAlignment="1" applyProtection="1">
      <alignment horizontal="right" vertical="center"/>
      <protection locked="0"/>
    </xf>
    <xf numFmtId="0" fontId="15" fillId="13" borderId="3" xfId="0" applyFont="1" applyFill="1" applyBorder="1" applyAlignment="1" applyProtection="1">
      <alignment horizontal="right" vertical="center"/>
      <protection locked="0"/>
    </xf>
    <xf numFmtId="166" fontId="15" fillId="13" borderId="3" xfId="0" applyNumberFormat="1" applyFont="1" applyFill="1" applyBorder="1" applyAlignment="1" applyProtection="1">
      <alignment horizontal="right" vertical="center" shrinkToFit="1"/>
      <protection locked="0"/>
    </xf>
    <xf numFmtId="166" fontId="16" fillId="17" borderId="3" xfId="1" applyNumberFormat="1" applyFont="1" applyFill="1" applyBorder="1" applyAlignment="1" applyProtection="1">
      <alignment horizontal="right"/>
      <protection locked="0"/>
    </xf>
    <xf numFmtId="166" fontId="19" fillId="12" borderId="3" xfId="0" applyNumberFormat="1" applyFont="1" applyFill="1" applyBorder="1" applyAlignment="1">
      <alignment horizontal="right" vertical="center"/>
    </xf>
    <xf numFmtId="166" fontId="19" fillId="14" borderId="3" xfId="0" applyNumberFormat="1" applyFont="1" applyFill="1" applyBorder="1" applyAlignment="1">
      <alignment horizontal="right" vertical="center"/>
    </xf>
    <xf numFmtId="0" fontId="18" fillId="17" borderId="3" xfId="0" applyFont="1" applyFill="1" applyBorder="1" applyProtection="1">
      <protection locked="0"/>
    </xf>
    <xf numFmtId="0" fontId="15" fillId="17" borderId="3" xfId="0" applyFont="1" applyFill="1" applyBorder="1" applyProtection="1">
      <protection locked="0"/>
    </xf>
    <xf numFmtId="0" fontId="3" fillId="17" borderId="3" xfId="0" applyFont="1" applyFill="1" applyBorder="1" applyProtection="1">
      <protection locked="0"/>
    </xf>
    <xf numFmtId="41" fontId="3" fillId="10" borderId="3" xfId="2" applyNumberFormat="1" applyFont="1" applyFill="1" applyBorder="1" applyProtection="1"/>
    <xf numFmtId="10" fontId="3" fillId="17" borderId="3" xfId="3" applyNumberFormat="1" applyFont="1" applyFill="1" applyBorder="1" applyProtection="1">
      <protection locked="0"/>
    </xf>
    <xf numFmtId="166" fontId="16" fillId="17" borderId="3" xfId="1" applyNumberFormat="1" applyFont="1" applyFill="1" applyBorder="1" applyProtection="1">
      <protection locked="0"/>
    </xf>
    <xf numFmtId="0" fontId="3" fillId="5" borderId="3" xfId="0" applyFont="1" applyFill="1" applyBorder="1" applyAlignment="1">
      <alignment horizontal="right"/>
    </xf>
    <xf numFmtId="0" fontId="3" fillId="3" borderId="6"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cellXfs>
  <cellStyles count="6">
    <cellStyle name="Comma" xfId="1" builtinId="3"/>
    <cellStyle name="Currency" xfId="2" builtinId="4"/>
    <cellStyle name="Hyperlink" xfId="4" builtinId="8"/>
    <cellStyle name="Normal" xfId="0" builtinId="0"/>
    <cellStyle name="Normal_Sources &amp; Uses" xfId="5" xr:uid="{6FF18B61-B89F-4392-B77D-FD86F410B673}"/>
    <cellStyle name="Percent" xfId="3" builtinId="5"/>
  </cellStyles>
  <dxfs count="5">
    <dxf>
      <font>
        <b/>
        <i val="0"/>
        <color rgb="FFC00000"/>
      </font>
    </dxf>
    <dxf>
      <font>
        <b/>
        <i val="0"/>
        <strike val="0"/>
        <color rgb="FFC00000"/>
      </font>
    </dxf>
    <dxf>
      <font>
        <color rgb="FFFFFFFF"/>
      </font>
      <fill>
        <patternFill>
          <bgColor rgb="FF07A54E"/>
        </patternFill>
      </fill>
    </dxf>
    <dxf>
      <font>
        <color rgb="FFFFFFFF"/>
      </font>
      <fill>
        <patternFill>
          <bgColor rgb="FF91262E"/>
        </patternFill>
      </fill>
    </dxf>
    <dxf>
      <fill>
        <patternFill>
          <bgColor rgb="FFFFCA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HEDA%202023%20Multifamily%20Application%20-%20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hedacom.sharepoint.com/shared/CREDIT/TRAINING/DJB%20work/Oregon/OHCS%20Proforma%20-%20MASTER%2001312022_WORKING%20DO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hedacom.sharepoint.com/Users/mcase/AppData/Local/Microsoft/Windows/INetCache/Content.Outlook/VOJNUEFW/OHCS%20Proforma%20-%20MASTER%2001312022_WORKING%20DO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teoforegon-my.sharepoint.com/personal/edward_brown_oregon_gov/Documents/Desktop/Full%20Application_NOFA%20#2020-9 VGHAP_Good Shepherd Villa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Dropdown Lists"/>
      <sheetName val="ProLink"/>
      <sheetName val="ProLink Mapping"/>
      <sheetName val="1. Cover Sheet"/>
      <sheetName val="2. TOC"/>
      <sheetName val="3. Project Summary"/>
      <sheetName val="4. Project Name &amp; Location"/>
      <sheetName val="5. Project Description"/>
      <sheetName val="6. Applicant Information"/>
      <sheetName val="7. Site Description"/>
      <sheetName val="8. Site Control"/>
      <sheetName val="9. Zoning"/>
      <sheetName val="10. Ownership Entity"/>
      <sheetName val="11. Project Team"/>
      <sheetName val="12. Project &amp; Unit Amenities"/>
      <sheetName val="13. Unit Mix"/>
      <sheetName val="Unit Mix Helper"/>
      <sheetName val="State HTC Gap"/>
      <sheetName val="14. Funding Sources"/>
      <sheetName val="15. Construction Cost SOV"/>
      <sheetName val="16. Project Costs"/>
      <sheetName val="17. Credit Calc"/>
      <sheetName val="18. Projected Operating Costs"/>
      <sheetName val="19. Projected Cash Flow"/>
      <sheetName val="20. Financial Feasibility"/>
      <sheetName val="21. Max Cost Model"/>
      <sheetName val="22. Replacement Reserves"/>
      <sheetName val="23. Construction Draw Schedule"/>
      <sheetName val="24. Instructions Scoring Sum"/>
      <sheetName val="25. Lower-Income Areas"/>
      <sheetName val="26. Energy Eff &amp; Sustainabilty"/>
      <sheetName val="27. Mixed Income Incentive"/>
      <sheetName val="28. Serves Large Families"/>
      <sheetName val="29. Serves Lowest Income"/>
      <sheetName val="30. Supportive Housing"/>
      <sheetName val="31. Veterans Housing"/>
      <sheetName val="32. Rehab Neighborhood Stabili"/>
      <sheetName val="33. Universal Design"/>
      <sheetName val="34. Financial Leverage"/>
      <sheetName val="35. Eventual Tenant Own"/>
      <sheetName val="36. Development Team"/>
      <sheetName val="37. Areas of Economic Opp"/>
      <sheetName val="38. Rural Areas w_o TC"/>
      <sheetName val="39. Workforce Housing"/>
      <sheetName val="40.Community Service Facilities"/>
      <sheetName val="36. Serves Special Needs"/>
      <sheetName val="37. Catalyst for Revitalization"/>
      <sheetName val="38. Health &amp; Built Environment"/>
      <sheetName val="39. Innovative Housing Narrativ"/>
      <sheetName val="40. Nonprofit Ownership"/>
      <sheetName val="Threshold Checklist"/>
      <sheetName val="Self Scoring checklist"/>
      <sheetName val="WHEDA Loan Signatures"/>
      <sheetName val="Tax Credit Signatures"/>
      <sheetName val="App R Data"/>
      <sheetName val="SD_Dropdowns"/>
      <sheetName val="RentLimits"/>
      <sheetName val="IncomeLimits"/>
    </sheetNames>
    <sheetDataSet>
      <sheetData sheetId="0"/>
      <sheetData sheetId="1">
        <row r="2">
          <cell r="A2" t="str">
            <v>Yes</v>
          </cell>
          <cell r="B2">
            <v>0</v>
          </cell>
          <cell r="D2" t="str">
            <v>New Construction</v>
          </cell>
          <cell r="F2" t="str">
            <v>General Set-Aside</v>
          </cell>
          <cell r="G2" t="str">
            <v>9%</v>
          </cell>
          <cell r="I2">
            <v>0.2</v>
          </cell>
          <cell r="J2" t="str">
            <v>HUD</v>
          </cell>
          <cell r="K2" t="str">
            <v>CHDO</v>
          </cell>
          <cell r="L2" t="str">
            <v>Ownership</v>
          </cell>
          <cell r="M2" t="str">
            <v>Limited Liability Company</v>
          </cell>
          <cell r="N2" t="str">
            <v>To Be Formed</v>
          </cell>
          <cell r="O2" t="str">
            <v>Principal</v>
          </cell>
          <cell r="P2" t="str">
            <v>Gas</v>
          </cell>
          <cell r="Q2" t="str">
            <v>Electric Baseboards</v>
          </cell>
          <cell r="U2" t="str">
            <v>Local PHA</v>
          </cell>
          <cell r="X2" t="str">
            <v>Tax-Exempt Bond Financing – Construction</v>
          </cell>
        </row>
        <row r="3">
          <cell r="A3" t="str">
            <v>No</v>
          </cell>
          <cell r="B3">
            <v>1</v>
          </cell>
          <cell r="D3" t="str">
            <v>Acquisition/Rehab</v>
          </cell>
          <cell r="F3" t="str">
            <v>Non-Profit Set-Aside</v>
          </cell>
          <cell r="G3" t="str">
            <v>4%</v>
          </cell>
          <cell r="I3">
            <v>0.3</v>
          </cell>
          <cell r="J3" t="str">
            <v>RD</v>
          </cell>
          <cell r="K3" t="str">
            <v>Federal HOME</v>
          </cell>
          <cell r="L3" t="str">
            <v>Purchase Contract</v>
          </cell>
          <cell r="M3" t="str">
            <v>Limited Liability Partnership</v>
          </cell>
          <cell r="N3" t="str">
            <v>Already Formed</v>
          </cell>
          <cell r="O3" t="str">
            <v>Managing Member</v>
          </cell>
          <cell r="P3" t="str">
            <v>Electric</v>
          </cell>
          <cell r="Q3" t="str">
            <v>Electric Forces Air</v>
          </cell>
          <cell r="U3" t="str">
            <v>LIHTC Permit Calcs</v>
          </cell>
          <cell r="X3" t="str">
            <v>Tax Exempt Bond Financing - Permanent</v>
          </cell>
        </row>
        <row r="4">
          <cell r="B4">
            <v>2</v>
          </cell>
          <cell r="D4" t="str">
            <v>Adaptive Reuse</v>
          </cell>
          <cell r="F4" t="str">
            <v>Rural Set-Aside</v>
          </cell>
          <cell r="G4" t="str">
            <v>State + Fed 4%</v>
          </cell>
          <cell r="I4">
            <v>0.4</v>
          </cell>
          <cell r="K4" t="str">
            <v>HUD Sect 202</v>
          </cell>
          <cell r="L4" t="str">
            <v>Option</v>
          </cell>
          <cell r="M4" t="str">
            <v>C Corporation</v>
          </cell>
          <cell r="O4" t="str">
            <v>Managing General Partner</v>
          </cell>
          <cell r="P4" t="str">
            <v>Propane</v>
          </cell>
          <cell r="Q4" t="str">
            <v>Solar</v>
          </cell>
          <cell r="U4" t="str">
            <v>HUD</v>
          </cell>
          <cell r="X4" t="str">
            <v>Stand-Alone Bond Financing</v>
          </cell>
        </row>
        <row r="5">
          <cell r="D5" t="str">
            <v>Adaptive Reuse/New Construction</v>
          </cell>
          <cell r="F5" t="str">
            <v>Supportive Housing Set-Aside</v>
          </cell>
          <cell r="I5">
            <v>0.5</v>
          </cell>
          <cell r="K5" t="str">
            <v>HUD Sect 236</v>
          </cell>
          <cell r="M5" t="str">
            <v>S Corporation</v>
          </cell>
          <cell r="Q5" t="str">
            <v>Gas Radiant</v>
          </cell>
          <cell r="U5" t="str">
            <v>USDA</v>
          </cell>
          <cell r="X5" t="str">
            <v>Preservation Plus Financing</v>
          </cell>
        </row>
        <row r="6">
          <cell r="D6" t="str">
            <v>Equity Take out</v>
          </cell>
          <cell r="F6" t="str">
            <v>Preservation Set-Aside</v>
          </cell>
          <cell r="I6">
            <v>0.6</v>
          </cell>
          <cell r="K6" t="str">
            <v>RD 515</v>
          </cell>
          <cell r="M6" t="str">
            <v>Limited Partnership</v>
          </cell>
          <cell r="Q6" t="str">
            <v>Gas Forced Air</v>
          </cell>
          <cell r="U6" t="str">
            <v>Utiity Company</v>
          </cell>
          <cell r="X6" t="str">
            <v>Preservation Revolving Loan Fund</v>
          </cell>
        </row>
        <row r="7">
          <cell r="D7" t="str">
            <v xml:space="preserve">Refinance </v>
          </cell>
          <cell r="F7" t="str">
            <v>Small Urban Set-Aside</v>
          </cell>
          <cell r="I7">
            <v>0.7</v>
          </cell>
          <cell r="K7" t="str">
            <v>Tax-Exempt Bond</v>
          </cell>
          <cell r="M7" t="str">
            <v>Other</v>
          </cell>
          <cell r="Q7" t="str">
            <v>Heat Pump</v>
          </cell>
          <cell r="U7" t="str">
            <v>Other</v>
          </cell>
          <cell r="X7" t="str">
            <v>Tax Credit Development Financing</v>
          </cell>
        </row>
        <row r="8">
          <cell r="D8" t="str">
            <v>Acquisition/New Construction</v>
          </cell>
          <cell r="I8">
            <v>0.8</v>
          </cell>
          <cell r="K8" t="str">
            <v>Other</v>
          </cell>
          <cell r="Q8" t="str">
            <v>Oil Forced Air</v>
          </cell>
          <cell r="X8" t="str">
            <v>Construction Plus Loan</v>
          </cell>
        </row>
        <row r="9">
          <cell r="Q9" t="str">
            <v>Oil Radiant</v>
          </cell>
          <cell r="X9" t="str">
            <v>Rental Housing Accessibility Loan</v>
          </cell>
        </row>
        <row r="10">
          <cell r="Q10" t="str">
            <v>Other</v>
          </cell>
          <cell r="X10" t="str">
            <v>7/10 Flex Financing</v>
          </cell>
        </row>
        <row r="11">
          <cell r="Q11"/>
          <cell r="X11" t="str">
            <v>Tax Incremental Financing (TIF)</v>
          </cell>
        </row>
        <row r="12">
          <cell r="X12" t="str">
            <v>Subordinate Debt Financing</v>
          </cell>
        </row>
      </sheetData>
      <sheetData sheetId="2">
        <row r="3">
          <cell r="F3"/>
        </row>
        <row r="4">
          <cell r="F4"/>
        </row>
        <row r="5">
          <cell r="F5"/>
        </row>
        <row r="6">
          <cell r="F6"/>
        </row>
        <row r="7">
          <cell r="F7"/>
        </row>
        <row r="8">
          <cell r="F8"/>
        </row>
      </sheetData>
      <sheetData sheetId="3"/>
      <sheetData sheetId="4">
        <row r="2">
          <cell r="B2" t="str">
            <v>WHEDA 2023 Multifamily Application</v>
          </cell>
          <cell r="F2" t="str">
            <v>Version 23.01.19</v>
          </cell>
        </row>
        <row r="4">
          <cell r="B4" t="str">
            <v>Cover Sheet</v>
          </cell>
        </row>
        <row r="10">
          <cell r="C10"/>
        </row>
        <row r="11">
          <cell r="C11"/>
        </row>
        <row r="12">
          <cell r="C12"/>
        </row>
      </sheetData>
      <sheetData sheetId="5">
        <row r="4">
          <cell r="B4" t="str">
            <v>Table of Contents</v>
          </cell>
        </row>
      </sheetData>
      <sheetData sheetId="6">
        <row r="4">
          <cell r="B4" t="str">
            <v>Project Summary</v>
          </cell>
        </row>
      </sheetData>
      <sheetData sheetId="7">
        <row r="5">
          <cell r="C5" t="str">
            <v>Date of Application</v>
          </cell>
          <cell r="E5" t="str">
            <v>Tax Credit #</v>
          </cell>
          <cell r="H5" t="str">
            <v>Tax Credit Stage</v>
          </cell>
          <cell r="J5" t="str">
            <v>Tax Credit Status</v>
          </cell>
          <cell r="L5" t="str">
            <v>Development Deal #</v>
          </cell>
          <cell r="N5" t="str">
            <v>Development Deal Status</v>
          </cell>
        </row>
        <row r="6">
          <cell r="B6" t="str">
            <v>Project Name and Location</v>
          </cell>
        </row>
        <row r="8">
          <cell r="D8"/>
          <cell r="F8"/>
        </row>
        <row r="10">
          <cell r="D10"/>
        </row>
        <row r="12">
          <cell r="D12"/>
        </row>
        <row r="13">
          <cell r="D13"/>
          <cell r="F13"/>
        </row>
        <row r="14">
          <cell r="D14"/>
        </row>
        <row r="15">
          <cell r="D15"/>
        </row>
        <row r="17">
          <cell r="D17"/>
          <cell r="F17"/>
        </row>
        <row r="22">
          <cell r="D22"/>
        </row>
        <row r="23">
          <cell r="D23"/>
          <cell r="F23"/>
          <cell r="H23"/>
        </row>
        <row r="24">
          <cell r="D24"/>
        </row>
        <row r="25">
          <cell r="D25"/>
          <cell r="F25"/>
        </row>
        <row r="26">
          <cell r="D26"/>
          <cell r="F26"/>
        </row>
      </sheetData>
      <sheetData sheetId="8">
        <row r="6">
          <cell r="B6" t="str">
            <v>Project Description</v>
          </cell>
        </row>
        <row r="8">
          <cell r="D8"/>
        </row>
        <row r="10">
          <cell r="D10"/>
        </row>
        <row r="11">
          <cell r="D11"/>
        </row>
        <row r="12">
          <cell r="D12"/>
        </row>
        <row r="15">
          <cell r="D15"/>
        </row>
        <row r="16">
          <cell r="D16"/>
        </row>
        <row r="17">
          <cell r="D17"/>
        </row>
        <row r="19">
          <cell r="D19"/>
          <cell r="F19"/>
        </row>
        <row r="20">
          <cell r="D20"/>
          <cell r="F20"/>
        </row>
        <row r="21">
          <cell r="D21"/>
          <cell r="F21"/>
        </row>
        <row r="22">
          <cell r="D22"/>
          <cell r="F22"/>
        </row>
        <row r="23">
          <cell r="D23"/>
          <cell r="F23"/>
        </row>
        <row r="24">
          <cell r="D24"/>
          <cell r="F24"/>
        </row>
        <row r="26">
          <cell r="F26"/>
        </row>
        <row r="27">
          <cell r="D27"/>
          <cell r="F27"/>
        </row>
        <row r="29">
          <cell r="D29"/>
        </row>
        <row r="30">
          <cell r="D30"/>
        </row>
        <row r="31">
          <cell r="D31"/>
        </row>
        <row r="32">
          <cell r="D32"/>
        </row>
        <row r="33">
          <cell r="D33"/>
        </row>
        <row r="39">
          <cell r="D39" t="str">
            <v>No</v>
          </cell>
          <cell r="F39">
            <v>0</v>
          </cell>
        </row>
        <row r="40">
          <cell r="D40" t="str">
            <v>No</v>
          </cell>
          <cell r="F40">
            <v>0</v>
          </cell>
        </row>
        <row r="41">
          <cell r="D41"/>
          <cell r="F41"/>
        </row>
        <row r="42">
          <cell r="D42"/>
          <cell r="F42"/>
        </row>
        <row r="43">
          <cell r="D43"/>
          <cell r="F43"/>
        </row>
        <row r="44">
          <cell r="D44"/>
          <cell r="F44"/>
        </row>
        <row r="45">
          <cell r="D45"/>
          <cell r="F45"/>
        </row>
        <row r="50">
          <cell r="D50"/>
        </row>
        <row r="51">
          <cell r="D51"/>
        </row>
        <row r="52">
          <cell r="D52"/>
        </row>
        <row r="53">
          <cell r="D53"/>
        </row>
        <row r="56">
          <cell r="D56"/>
        </row>
        <row r="57">
          <cell r="D57"/>
        </row>
        <row r="62">
          <cell r="D62"/>
        </row>
        <row r="66">
          <cell r="D66"/>
          <cell r="F66"/>
        </row>
        <row r="67">
          <cell r="D67"/>
          <cell r="F67"/>
        </row>
        <row r="68">
          <cell r="D68"/>
        </row>
        <row r="69">
          <cell r="D69"/>
        </row>
        <row r="70">
          <cell r="D70"/>
        </row>
        <row r="84">
          <cell r="D84"/>
        </row>
        <row r="85">
          <cell r="D85"/>
        </row>
        <row r="92">
          <cell r="D92"/>
        </row>
        <row r="93">
          <cell r="D93"/>
        </row>
        <row r="94">
          <cell r="D94"/>
        </row>
        <row r="95">
          <cell r="D95"/>
        </row>
        <row r="96">
          <cell r="D96"/>
        </row>
      </sheetData>
      <sheetData sheetId="9">
        <row r="6">
          <cell r="B6" t="str">
            <v>Applicant Information</v>
          </cell>
        </row>
        <row r="15">
          <cell r="D15"/>
        </row>
        <row r="17">
          <cell r="D17"/>
        </row>
        <row r="18">
          <cell r="D18"/>
          <cell r="F18"/>
          <cell r="H18"/>
        </row>
        <row r="21">
          <cell r="D21"/>
          <cell r="F21"/>
        </row>
        <row r="22">
          <cell r="D22"/>
        </row>
        <row r="23">
          <cell r="D23"/>
        </row>
        <row r="30">
          <cell r="D30"/>
        </row>
        <row r="32">
          <cell r="D32"/>
        </row>
        <row r="33">
          <cell r="D33"/>
          <cell r="F33"/>
          <cell r="H33"/>
        </row>
        <row r="36">
          <cell r="D36"/>
          <cell r="F36"/>
        </row>
        <row r="37">
          <cell r="D37"/>
        </row>
        <row r="38">
          <cell r="D38"/>
        </row>
        <row r="45">
          <cell r="D45"/>
        </row>
        <row r="47">
          <cell r="D47"/>
        </row>
        <row r="48">
          <cell r="D48"/>
          <cell r="F48"/>
          <cell r="H48"/>
        </row>
        <row r="51">
          <cell r="D51"/>
          <cell r="F51"/>
        </row>
        <row r="52">
          <cell r="D52"/>
        </row>
        <row r="53">
          <cell r="D53"/>
        </row>
        <row r="60">
          <cell r="D60"/>
        </row>
        <row r="62">
          <cell r="D62"/>
        </row>
        <row r="63">
          <cell r="D63"/>
          <cell r="F63"/>
          <cell r="H63"/>
        </row>
        <row r="66">
          <cell r="D66"/>
          <cell r="F66"/>
        </row>
        <row r="67">
          <cell r="D67"/>
        </row>
        <row r="68">
          <cell r="D68"/>
        </row>
        <row r="73">
          <cell r="E73"/>
        </row>
        <row r="76">
          <cell r="E76"/>
        </row>
        <row r="79">
          <cell r="E79"/>
        </row>
        <row r="84">
          <cell r="E84"/>
        </row>
      </sheetData>
      <sheetData sheetId="10">
        <row r="6">
          <cell r="B6" t="str">
            <v>Site Description</v>
          </cell>
        </row>
        <row r="8">
          <cell r="D8"/>
          <cell r="F8"/>
        </row>
        <row r="19">
          <cell r="E19"/>
        </row>
        <row r="24">
          <cell r="E24"/>
        </row>
        <row r="28">
          <cell r="E28"/>
        </row>
        <row r="29">
          <cell r="E29"/>
        </row>
        <row r="36">
          <cell r="D36"/>
        </row>
        <row r="39">
          <cell r="E39"/>
        </row>
        <row r="49">
          <cell r="E49"/>
        </row>
      </sheetData>
      <sheetData sheetId="11">
        <row r="6">
          <cell r="B6" t="str">
            <v>Site Control</v>
          </cell>
        </row>
        <row r="20">
          <cell r="D20"/>
        </row>
        <row r="30">
          <cell r="D30"/>
        </row>
        <row r="31">
          <cell r="D31"/>
        </row>
        <row r="44">
          <cell r="C44"/>
          <cell r="D44"/>
          <cell r="E44"/>
          <cell r="F44"/>
          <cell r="G44"/>
        </row>
        <row r="45">
          <cell r="C45"/>
          <cell r="D45"/>
          <cell r="E45"/>
          <cell r="F45"/>
          <cell r="G45"/>
        </row>
        <row r="46">
          <cell r="C46"/>
          <cell r="D46"/>
          <cell r="E46"/>
          <cell r="F46"/>
          <cell r="G46"/>
        </row>
        <row r="47">
          <cell r="C47"/>
          <cell r="D47"/>
          <cell r="E47"/>
          <cell r="F47"/>
          <cell r="G47"/>
        </row>
        <row r="48">
          <cell r="C48"/>
          <cell r="D48"/>
          <cell r="E48"/>
          <cell r="F48"/>
          <cell r="G48"/>
        </row>
        <row r="49">
          <cell r="C49"/>
          <cell r="D49"/>
          <cell r="E49"/>
          <cell r="F49"/>
          <cell r="G49"/>
        </row>
        <row r="50">
          <cell r="C50"/>
          <cell r="D50"/>
          <cell r="E50"/>
          <cell r="F50"/>
          <cell r="G50"/>
        </row>
        <row r="51">
          <cell r="C51"/>
          <cell r="D51"/>
          <cell r="E51"/>
          <cell r="F51"/>
          <cell r="G51"/>
        </row>
        <row r="52">
          <cell r="C52"/>
          <cell r="D52"/>
          <cell r="E52"/>
          <cell r="F52"/>
          <cell r="G52"/>
        </row>
        <row r="53">
          <cell r="C53"/>
          <cell r="D53"/>
          <cell r="E53"/>
          <cell r="F53"/>
          <cell r="G53"/>
        </row>
        <row r="54">
          <cell r="C54"/>
          <cell r="D54"/>
          <cell r="E54"/>
          <cell r="F54"/>
          <cell r="G54"/>
        </row>
        <row r="55">
          <cell r="C55"/>
          <cell r="D55"/>
          <cell r="E55"/>
          <cell r="F55"/>
          <cell r="G55"/>
        </row>
        <row r="56">
          <cell r="C56"/>
          <cell r="D56"/>
          <cell r="E56"/>
          <cell r="F56"/>
          <cell r="G56"/>
        </row>
        <row r="57">
          <cell r="C57"/>
          <cell r="D57"/>
          <cell r="E57"/>
          <cell r="F57"/>
          <cell r="G57"/>
        </row>
        <row r="58">
          <cell r="C58"/>
          <cell r="D58"/>
          <cell r="E58"/>
          <cell r="F58"/>
          <cell r="G58"/>
        </row>
        <row r="59">
          <cell r="C59"/>
          <cell r="D59"/>
          <cell r="E59"/>
          <cell r="F59"/>
          <cell r="G59"/>
        </row>
        <row r="60">
          <cell r="C60"/>
          <cell r="D60"/>
          <cell r="E60"/>
          <cell r="F60"/>
          <cell r="G60"/>
        </row>
        <row r="61">
          <cell r="C61"/>
          <cell r="D61"/>
          <cell r="E61"/>
          <cell r="F61"/>
          <cell r="G61"/>
        </row>
        <row r="62">
          <cell r="C62"/>
          <cell r="D62"/>
          <cell r="E62"/>
          <cell r="F62"/>
          <cell r="G62"/>
        </row>
        <row r="63">
          <cell r="C63"/>
          <cell r="D63"/>
          <cell r="E63"/>
          <cell r="F63"/>
          <cell r="G63"/>
        </row>
        <row r="64">
          <cell r="C64"/>
          <cell r="D64"/>
          <cell r="E64"/>
          <cell r="F64"/>
          <cell r="G64"/>
        </row>
        <row r="65">
          <cell r="C65"/>
          <cell r="D65"/>
          <cell r="E65"/>
          <cell r="F65"/>
          <cell r="G65"/>
        </row>
        <row r="66">
          <cell r="C66"/>
          <cell r="D66"/>
          <cell r="E66"/>
          <cell r="F66"/>
          <cell r="G66"/>
        </row>
        <row r="67">
          <cell r="C67"/>
          <cell r="D67"/>
          <cell r="E67"/>
          <cell r="F67"/>
          <cell r="G67"/>
        </row>
        <row r="68">
          <cell r="C68"/>
          <cell r="D68"/>
          <cell r="E68"/>
          <cell r="F68"/>
          <cell r="G68"/>
        </row>
        <row r="69">
          <cell r="C69"/>
          <cell r="D69"/>
          <cell r="E69"/>
          <cell r="F69"/>
          <cell r="G69"/>
        </row>
        <row r="70">
          <cell r="C70"/>
          <cell r="D70"/>
          <cell r="E70"/>
          <cell r="F70"/>
          <cell r="G70"/>
        </row>
        <row r="71">
          <cell r="C71"/>
          <cell r="D71"/>
          <cell r="E71"/>
          <cell r="F71"/>
          <cell r="G71"/>
        </row>
        <row r="72">
          <cell r="C72"/>
          <cell r="D72"/>
          <cell r="E72"/>
          <cell r="F72"/>
          <cell r="G72"/>
        </row>
        <row r="73">
          <cell r="C73"/>
          <cell r="D73"/>
          <cell r="E73"/>
          <cell r="F73"/>
          <cell r="G73"/>
        </row>
        <row r="74">
          <cell r="C74"/>
          <cell r="D74"/>
          <cell r="E74"/>
          <cell r="F74"/>
          <cell r="G74"/>
        </row>
        <row r="75">
          <cell r="C75"/>
          <cell r="D75"/>
          <cell r="E75"/>
          <cell r="F75"/>
          <cell r="G75"/>
        </row>
        <row r="76">
          <cell r="C76"/>
          <cell r="D76"/>
          <cell r="E76"/>
          <cell r="F76"/>
          <cell r="G76"/>
        </row>
        <row r="77">
          <cell r="C77"/>
          <cell r="D77"/>
          <cell r="E77"/>
          <cell r="F77"/>
          <cell r="G77"/>
        </row>
      </sheetData>
      <sheetData sheetId="12">
        <row r="6">
          <cell r="B6" t="str">
            <v>Zoning</v>
          </cell>
        </row>
      </sheetData>
      <sheetData sheetId="13">
        <row r="6">
          <cell r="B6" t="str">
            <v>Ownership Entity</v>
          </cell>
        </row>
        <row r="8">
          <cell r="C8"/>
        </row>
        <row r="10">
          <cell r="C10"/>
        </row>
        <row r="12">
          <cell r="C12"/>
          <cell r="F12"/>
          <cell r="I12"/>
        </row>
        <row r="13">
          <cell r="C13"/>
        </row>
        <row r="14">
          <cell r="C14"/>
          <cell r="F14"/>
        </row>
        <row r="21">
          <cell r="C21"/>
        </row>
        <row r="23">
          <cell r="C23"/>
          <cell r="F23"/>
        </row>
        <row r="24">
          <cell r="C24"/>
        </row>
        <row r="25">
          <cell r="C25"/>
          <cell r="F25"/>
          <cell r="I25"/>
        </row>
        <row r="26">
          <cell r="C26"/>
          <cell r="I26"/>
        </row>
        <row r="32">
          <cell r="C32"/>
        </row>
        <row r="34">
          <cell r="C34"/>
          <cell r="F34"/>
        </row>
        <row r="35">
          <cell r="C35"/>
        </row>
        <row r="36">
          <cell r="C36"/>
          <cell r="F36"/>
          <cell r="I36"/>
        </row>
        <row r="37">
          <cell r="C37"/>
          <cell r="I37"/>
        </row>
        <row r="43">
          <cell r="C43"/>
        </row>
        <row r="45">
          <cell r="C45"/>
          <cell r="F45"/>
        </row>
        <row r="46">
          <cell r="C46"/>
        </row>
        <row r="47">
          <cell r="C47"/>
          <cell r="F47"/>
          <cell r="I47"/>
        </row>
        <row r="48">
          <cell r="C48"/>
          <cell r="I48"/>
        </row>
      </sheetData>
      <sheetData sheetId="14">
        <row r="6">
          <cell r="B6" t="str">
            <v>Project Team</v>
          </cell>
        </row>
        <row r="10">
          <cell r="D10"/>
        </row>
        <row r="12">
          <cell r="D12"/>
        </row>
        <row r="14">
          <cell r="D14"/>
        </row>
        <row r="16">
          <cell r="D16"/>
          <cell r="F16"/>
          <cell r="H16"/>
        </row>
        <row r="18">
          <cell r="D18"/>
          <cell r="G18"/>
        </row>
        <row r="20">
          <cell r="D20"/>
          <cell r="F20"/>
        </row>
        <row r="25">
          <cell r="F25"/>
        </row>
        <row r="27">
          <cell r="D27"/>
        </row>
        <row r="29">
          <cell r="D29"/>
        </row>
        <row r="31">
          <cell r="D31"/>
          <cell r="F31"/>
          <cell r="H31"/>
        </row>
        <row r="33">
          <cell r="D33"/>
          <cell r="G33"/>
        </row>
        <row r="35">
          <cell r="D35"/>
          <cell r="F35"/>
        </row>
        <row r="40">
          <cell r="D40"/>
        </row>
        <row r="42">
          <cell r="D42"/>
        </row>
        <row r="44">
          <cell r="D44"/>
        </row>
        <row r="46">
          <cell r="D46"/>
          <cell r="F46"/>
          <cell r="H46"/>
        </row>
        <row r="48">
          <cell r="D48"/>
          <cell r="G48"/>
        </row>
        <row r="50">
          <cell r="D50"/>
          <cell r="F50"/>
        </row>
        <row r="55">
          <cell r="D55"/>
        </row>
        <row r="57">
          <cell r="D57"/>
        </row>
        <row r="59">
          <cell r="D59"/>
        </row>
        <row r="61">
          <cell r="D61"/>
          <cell r="F61"/>
          <cell r="H61"/>
        </row>
        <row r="63">
          <cell r="D63"/>
          <cell r="G63"/>
        </row>
        <row r="65">
          <cell r="D65"/>
          <cell r="F65"/>
        </row>
        <row r="70">
          <cell r="F70"/>
        </row>
        <row r="72">
          <cell r="D72"/>
        </row>
        <row r="74">
          <cell r="D74"/>
        </row>
        <row r="76">
          <cell r="D76"/>
          <cell r="F76"/>
          <cell r="H76"/>
        </row>
        <row r="78">
          <cell r="D78"/>
          <cell r="G78"/>
        </row>
        <row r="80">
          <cell r="D80"/>
          <cell r="F80"/>
        </row>
        <row r="85">
          <cell r="F85"/>
        </row>
        <row r="87">
          <cell r="D87"/>
        </row>
        <row r="89">
          <cell r="D89"/>
        </row>
        <row r="91">
          <cell r="D91"/>
          <cell r="F91"/>
          <cell r="H91"/>
        </row>
        <row r="93">
          <cell r="D93"/>
          <cell r="G93"/>
        </row>
        <row r="95">
          <cell r="D95"/>
          <cell r="F95"/>
        </row>
        <row r="100">
          <cell r="D100"/>
        </row>
        <row r="102">
          <cell r="D102"/>
        </row>
        <row r="104">
          <cell r="D104"/>
        </row>
        <row r="106">
          <cell r="D106"/>
          <cell r="F106"/>
          <cell r="H106"/>
        </row>
        <row r="108">
          <cell r="D108"/>
          <cell r="G108"/>
        </row>
        <row r="115">
          <cell r="F115"/>
        </row>
        <row r="117">
          <cell r="D117"/>
        </row>
        <row r="119">
          <cell r="D119"/>
        </row>
        <row r="121">
          <cell r="D121"/>
          <cell r="F121"/>
          <cell r="H121"/>
        </row>
        <row r="123">
          <cell r="D123"/>
          <cell r="G123"/>
        </row>
        <row r="125">
          <cell r="D125"/>
          <cell r="F125"/>
        </row>
      </sheetData>
      <sheetData sheetId="15">
        <row r="6">
          <cell r="B6" t="str">
            <v>Project and Unit Amenities</v>
          </cell>
        </row>
        <row r="18">
          <cell r="D18"/>
        </row>
        <row r="19">
          <cell r="D19"/>
          <cell r="G19"/>
        </row>
        <row r="21">
          <cell r="L21">
            <v>0</v>
          </cell>
        </row>
        <row r="22">
          <cell r="L22">
            <v>0</v>
          </cell>
        </row>
        <row r="23">
          <cell r="D23"/>
          <cell r="G23"/>
          <cell r="L23">
            <v>0</v>
          </cell>
        </row>
        <row r="24">
          <cell r="D24"/>
          <cell r="G24"/>
          <cell r="J24"/>
        </row>
        <row r="25">
          <cell r="D25"/>
          <cell r="G25"/>
          <cell r="J25"/>
        </row>
        <row r="27">
          <cell r="D27"/>
        </row>
        <row r="31">
          <cell r="D31"/>
          <cell r="J31"/>
        </row>
        <row r="32">
          <cell r="G32"/>
        </row>
        <row r="34">
          <cell r="J34"/>
        </row>
        <row r="35">
          <cell r="G35"/>
        </row>
        <row r="36">
          <cell r="J36"/>
        </row>
        <row r="37">
          <cell r="D37"/>
        </row>
        <row r="49">
          <cell r="D49"/>
        </row>
      </sheetData>
      <sheetData sheetId="16">
        <row r="7">
          <cell r="B7" t="str">
            <v>Unit Mix</v>
          </cell>
        </row>
        <row r="18">
          <cell r="F18"/>
        </row>
        <row r="19">
          <cell r="F19"/>
        </row>
        <row r="20">
          <cell r="F20"/>
        </row>
        <row r="21">
          <cell r="F21"/>
        </row>
        <row r="22">
          <cell r="F22"/>
        </row>
        <row r="23">
          <cell r="F23"/>
        </row>
        <row r="24">
          <cell r="F24"/>
        </row>
        <row r="25">
          <cell r="F25"/>
        </row>
        <row r="26">
          <cell r="F26"/>
        </row>
        <row r="27">
          <cell r="F27"/>
        </row>
        <row r="28">
          <cell r="F28"/>
        </row>
        <row r="29">
          <cell r="F29"/>
        </row>
        <row r="30">
          <cell r="F30"/>
          <cell r="H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BC68">
            <v>0</v>
          </cell>
          <cell r="BG68">
            <v>0</v>
          </cell>
        </row>
        <row r="98">
          <cell r="E98"/>
        </row>
        <row r="99">
          <cell r="E99"/>
        </row>
        <row r="100">
          <cell r="E100"/>
        </row>
        <row r="106">
          <cell r="F106"/>
        </row>
        <row r="107">
          <cell r="F107"/>
        </row>
        <row r="108">
          <cell r="F108"/>
        </row>
        <row r="109">
          <cell r="F109"/>
        </row>
        <row r="110">
          <cell r="F110"/>
        </row>
        <row r="111">
          <cell r="F111"/>
        </row>
        <row r="112">
          <cell r="F112"/>
        </row>
        <row r="113">
          <cell r="C113"/>
          <cell r="F113"/>
        </row>
        <row r="114">
          <cell r="C114"/>
          <cell r="F114"/>
        </row>
        <row r="115">
          <cell r="C115"/>
          <cell r="F115"/>
        </row>
        <row r="129">
          <cell r="F129">
            <v>0</v>
          </cell>
        </row>
        <row r="133">
          <cell r="F133">
            <v>0</v>
          </cell>
        </row>
      </sheetData>
      <sheetData sheetId="17"/>
      <sheetData sheetId="18"/>
      <sheetData sheetId="19">
        <row r="6">
          <cell r="B6" t="str">
            <v>Funding Sources</v>
          </cell>
        </row>
        <row r="16">
          <cell r="C16" t="str">
            <v>WHEDA Loan</v>
          </cell>
          <cell r="G16"/>
          <cell r="J16"/>
          <cell r="K16"/>
          <cell r="M16">
            <v>0</v>
          </cell>
        </row>
        <row r="17">
          <cell r="C17" t="str">
            <v>WHEDA Subordinate Loan 1</v>
          </cell>
          <cell r="G17"/>
          <cell r="J17"/>
          <cell r="K17"/>
          <cell r="M17">
            <v>0</v>
          </cell>
        </row>
        <row r="18">
          <cell r="C18" t="str">
            <v>WHEDA Subordinate Loan 2</v>
          </cell>
          <cell r="G18"/>
          <cell r="J18"/>
          <cell r="K18"/>
          <cell r="M18">
            <v>0</v>
          </cell>
        </row>
        <row r="19">
          <cell r="C19" t="str">
            <v>WHEDA Subordinate Loan 3</v>
          </cell>
          <cell r="G19"/>
          <cell r="J19"/>
          <cell r="K19"/>
          <cell r="M19">
            <v>0</v>
          </cell>
        </row>
        <row r="20">
          <cell r="C20" t="str">
            <v>WHEDA Subordinate Loan 4 (TIF LOAN)</v>
          </cell>
          <cell r="G20"/>
          <cell r="J20"/>
          <cell r="K20"/>
          <cell r="M20">
            <v>0</v>
          </cell>
        </row>
        <row r="21">
          <cell r="C21" t="str">
            <v>AHP Loan</v>
          </cell>
          <cell r="G21"/>
          <cell r="J21"/>
          <cell r="K21"/>
          <cell r="M21">
            <v>0</v>
          </cell>
        </row>
        <row r="22">
          <cell r="C22" t="str">
            <v>HOME Loan</v>
          </cell>
          <cell r="G22"/>
          <cell r="J22"/>
          <cell r="K22"/>
          <cell r="M22">
            <v>0</v>
          </cell>
        </row>
        <row r="23">
          <cell r="C23" t="str">
            <v>Other</v>
          </cell>
          <cell r="G23"/>
          <cell r="J23"/>
          <cell r="K23"/>
          <cell r="M23">
            <v>0</v>
          </cell>
        </row>
        <row r="24">
          <cell r="C24" t="str">
            <v>Other</v>
          </cell>
          <cell r="G24"/>
          <cell r="J24"/>
          <cell r="K24"/>
          <cell r="M24">
            <v>0</v>
          </cell>
        </row>
        <row r="25">
          <cell r="C25" t="str">
            <v>Other</v>
          </cell>
          <cell r="G25"/>
          <cell r="J25"/>
          <cell r="K25"/>
          <cell r="M25">
            <v>0</v>
          </cell>
        </row>
        <row r="30">
          <cell r="C30" t="str">
            <v>HOME Grant</v>
          </cell>
          <cell r="E30">
            <v>0</v>
          </cell>
        </row>
        <row r="31">
          <cell r="C31" t="str">
            <v>CDBG Grant</v>
          </cell>
          <cell r="E31">
            <v>0</v>
          </cell>
        </row>
        <row r="32">
          <cell r="C32" t="str">
            <v>WHEDA Foundation Grant</v>
          </cell>
          <cell r="E32">
            <v>0</v>
          </cell>
        </row>
        <row r="33">
          <cell r="C33" t="str">
            <v>Other</v>
          </cell>
          <cell r="E33">
            <v>0</v>
          </cell>
        </row>
        <row r="34">
          <cell r="C34" t="str">
            <v>Other</v>
          </cell>
          <cell r="E34">
            <v>0</v>
          </cell>
        </row>
        <row r="35">
          <cell r="C35" t="str">
            <v>Other</v>
          </cell>
          <cell r="E35">
            <v>0</v>
          </cell>
        </row>
        <row r="36">
          <cell r="C36" t="str">
            <v>Other</v>
          </cell>
          <cell r="E36">
            <v>0</v>
          </cell>
        </row>
        <row r="39">
          <cell r="C39" t="str">
            <v>Federal Housing Tax Credit Equity</v>
          </cell>
        </row>
        <row r="41">
          <cell r="C41" t="str">
            <v>Federal Historic Tax Credit Equity</v>
          </cell>
        </row>
        <row r="42">
          <cell r="C42" t="str">
            <v>State Housing Tax Credit Equity</v>
          </cell>
          <cell r="E42">
            <v>0</v>
          </cell>
        </row>
        <row r="43">
          <cell r="C43" t="str">
            <v>State Historic Tax Credit Equity</v>
          </cell>
        </row>
        <row r="44">
          <cell r="C44" t="str">
            <v>Deferred Developer Fees</v>
          </cell>
        </row>
        <row r="45">
          <cell r="C45" t="str">
            <v>Owner Investment</v>
          </cell>
        </row>
        <row r="46">
          <cell r="C46" t="str">
            <v>Other</v>
          </cell>
          <cell r="P46">
            <v>0</v>
          </cell>
        </row>
        <row r="47">
          <cell r="E47">
            <v>0</v>
          </cell>
        </row>
        <row r="51">
          <cell r="C51" t="str">
            <v>Construction Loan 1</v>
          </cell>
          <cell r="E51"/>
          <cell r="G51"/>
          <cell r="H51"/>
        </row>
        <row r="52">
          <cell r="C52" t="str">
            <v>Construction Loan 2</v>
          </cell>
          <cell r="E52">
            <v>0</v>
          </cell>
          <cell r="G52"/>
          <cell r="H52"/>
        </row>
        <row r="53">
          <cell r="C53" t="str">
            <v>Construction Loan 3</v>
          </cell>
          <cell r="E53">
            <v>0</v>
          </cell>
          <cell r="G53"/>
          <cell r="H53"/>
        </row>
        <row r="54">
          <cell r="C54" t="str">
            <v>Construction Loan 4</v>
          </cell>
          <cell r="E54">
            <v>0</v>
          </cell>
          <cell r="G54"/>
          <cell r="H54"/>
        </row>
        <row r="55">
          <cell r="C55" t="str">
            <v>Construction Loan 5</v>
          </cell>
          <cell r="E55">
            <v>0</v>
          </cell>
          <cell r="G55"/>
          <cell r="H55"/>
        </row>
        <row r="56">
          <cell r="C56" t="str">
            <v>Federal Housing Tax Credit Equity</v>
          </cell>
          <cell r="D56" t="str">
            <v>Specify Investor</v>
          </cell>
          <cell r="E56">
            <v>0</v>
          </cell>
          <cell r="G56"/>
          <cell r="H56"/>
        </row>
        <row r="57">
          <cell r="C57" t="str">
            <v>State Housing Tax Credit Equity</v>
          </cell>
          <cell r="D57" t="str">
            <v>Specify Investor</v>
          </cell>
          <cell r="E57">
            <v>0</v>
          </cell>
          <cell r="G57"/>
          <cell r="H57"/>
        </row>
        <row r="58">
          <cell r="C58" t="str">
            <v>Federal Historic Tax Credit Equity</v>
          </cell>
          <cell r="D58" t="str">
            <v>Specify Investor</v>
          </cell>
          <cell r="E58">
            <v>0</v>
          </cell>
          <cell r="G58"/>
          <cell r="H58"/>
        </row>
        <row r="59">
          <cell r="C59" t="str">
            <v>State Historic Tax Credit Equity</v>
          </cell>
          <cell r="E59">
            <v>0</v>
          </cell>
          <cell r="G59"/>
          <cell r="H59"/>
        </row>
        <row r="60">
          <cell r="C60" t="str">
            <v>Other - Specify</v>
          </cell>
          <cell r="E60">
            <v>0</v>
          </cell>
          <cell r="G60"/>
          <cell r="H60"/>
        </row>
        <row r="61">
          <cell r="C61" t="str">
            <v>Other - Specify</v>
          </cell>
          <cell r="E61">
            <v>0</v>
          </cell>
          <cell r="G61"/>
          <cell r="H61"/>
        </row>
        <row r="62">
          <cell r="C62" t="str">
            <v>Other - Specify</v>
          </cell>
          <cell r="E62">
            <v>0</v>
          </cell>
          <cell r="G62"/>
          <cell r="H62"/>
        </row>
      </sheetData>
      <sheetData sheetId="20">
        <row r="6">
          <cell r="B6" t="str">
            <v>Construction Cost Schedule of Values (SOV)</v>
          </cell>
        </row>
      </sheetData>
      <sheetData sheetId="21">
        <row r="6">
          <cell r="B6" t="str">
            <v>Project Costs</v>
          </cell>
        </row>
        <row r="16">
          <cell r="C16" t="str">
            <v>Land</v>
          </cell>
          <cell r="D16"/>
          <cell r="F16">
            <v>0</v>
          </cell>
        </row>
        <row r="17">
          <cell r="C17" t="str">
            <v>Purchase of Buildings</v>
          </cell>
          <cell r="D17"/>
          <cell r="F17">
            <v>0</v>
          </cell>
          <cell r="K17"/>
          <cell r="L17">
            <v>0</v>
          </cell>
        </row>
        <row r="18">
          <cell r="C18" t="str">
            <v>Other Purchase Bldgs &amp; Land</v>
          </cell>
          <cell r="D18"/>
          <cell r="F18">
            <v>0</v>
          </cell>
          <cell r="K18"/>
          <cell r="L18">
            <v>0</v>
          </cell>
        </row>
        <row r="19">
          <cell r="C19" t="str">
            <v>Other Acquisition</v>
          </cell>
          <cell r="D19"/>
          <cell r="F19">
            <v>0</v>
          </cell>
        </row>
        <row r="20">
          <cell r="F20">
            <v>0</v>
          </cell>
          <cell r="K20">
            <v>0</v>
          </cell>
        </row>
        <row r="23">
          <cell r="C23" t="str">
            <v>Hard/Construction Costs</v>
          </cell>
          <cell r="D23"/>
          <cell r="F23">
            <v>0</v>
          </cell>
          <cell r="K23">
            <v>0</v>
          </cell>
          <cell r="L23">
            <v>0</v>
          </cell>
        </row>
        <row r="28">
          <cell r="C28" t="str">
            <v>E - Equipment &amp; Furnishings</v>
          </cell>
          <cell r="D28"/>
        </row>
        <row r="29">
          <cell r="C29" t="str">
            <v>F - Special Construction &amp; Demolition</v>
          </cell>
          <cell r="D29"/>
        </row>
        <row r="31">
          <cell r="C31" t="str">
            <v>Escalation</v>
          </cell>
          <cell r="D31"/>
        </row>
        <row r="32">
          <cell r="C32" t="str">
            <v>Accessory Buildings (Garage, storage, etc.)</v>
          </cell>
          <cell r="D32"/>
          <cell r="F32">
            <v>0</v>
          </cell>
          <cell r="K32"/>
          <cell r="L32">
            <v>0</v>
          </cell>
        </row>
        <row r="33">
          <cell r="C33" t="str">
            <v>Personal Property / Furniture, Fixtures, &amp; Equipment</v>
          </cell>
          <cell r="D33"/>
          <cell r="F33">
            <v>0</v>
          </cell>
          <cell r="K33"/>
          <cell r="L33">
            <v>0</v>
          </cell>
        </row>
        <row r="34">
          <cell r="C34" t="str">
            <v>Other New Construction/Rehabilitation</v>
          </cell>
          <cell r="D34"/>
          <cell r="F34">
            <v>0</v>
          </cell>
          <cell r="K34"/>
          <cell r="L34">
            <v>0</v>
          </cell>
        </row>
        <row r="35">
          <cell r="F35">
            <v>0</v>
          </cell>
        </row>
        <row r="37">
          <cell r="C37" t="str">
            <v>Off Site Work</v>
          </cell>
          <cell r="D37"/>
          <cell r="F37">
            <v>0</v>
          </cell>
          <cell r="K37">
            <v>0</v>
          </cell>
        </row>
        <row r="38">
          <cell r="C38" t="str">
            <v>Utilities</v>
          </cell>
          <cell r="D38"/>
          <cell r="F38">
            <v>0</v>
          </cell>
          <cell r="K38">
            <v>0</v>
          </cell>
        </row>
        <row r="39">
          <cell r="C39" t="str">
            <v>Lawns and Plantings</v>
          </cell>
          <cell r="D39"/>
          <cell r="F39">
            <v>0</v>
          </cell>
          <cell r="K39">
            <v>0</v>
          </cell>
        </row>
        <row r="40">
          <cell r="C40" t="str">
            <v>Unusual Site Conditions</v>
          </cell>
          <cell r="D40"/>
          <cell r="F40">
            <v>0</v>
          </cell>
          <cell r="K40">
            <v>0</v>
          </cell>
        </row>
        <row r="41">
          <cell r="C41" t="str">
            <v xml:space="preserve">Roads , Walks &amp; Paving </v>
          </cell>
          <cell r="D41"/>
          <cell r="F41">
            <v>0</v>
          </cell>
          <cell r="K41">
            <v>0</v>
          </cell>
        </row>
        <row r="42">
          <cell r="C42" t="str">
            <v>Other Off Site Work</v>
          </cell>
          <cell r="D42"/>
          <cell r="F42">
            <v>0</v>
          </cell>
          <cell r="K42">
            <v>0</v>
          </cell>
        </row>
        <row r="43">
          <cell r="F43">
            <v>0</v>
          </cell>
          <cell r="K43">
            <v>0</v>
          </cell>
          <cell r="L43">
            <v>0</v>
          </cell>
        </row>
        <row r="45">
          <cell r="C45" t="str">
            <v>Off-Site - Site Work</v>
          </cell>
          <cell r="D45"/>
          <cell r="F45">
            <v>0</v>
          </cell>
          <cell r="K45"/>
          <cell r="L45"/>
        </row>
        <row r="46">
          <cell r="C46" t="str">
            <v>On-Site - Site Work</v>
          </cell>
          <cell r="D46"/>
          <cell r="F46">
            <v>0</v>
          </cell>
          <cell r="K46"/>
          <cell r="L46">
            <v>0</v>
          </cell>
        </row>
        <row r="47">
          <cell r="C47" t="str">
            <v>Roads / Walks</v>
          </cell>
          <cell r="D47"/>
          <cell r="F47">
            <v>0</v>
          </cell>
          <cell r="K47">
            <v>0</v>
          </cell>
        </row>
        <row r="48">
          <cell r="C48" t="str">
            <v>Site Utilities</v>
          </cell>
          <cell r="D48"/>
          <cell r="F48">
            <v>0</v>
          </cell>
          <cell r="K48">
            <v>0</v>
          </cell>
        </row>
        <row r="49">
          <cell r="C49" t="str">
            <v>Landscaping</v>
          </cell>
          <cell r="D49"/>
          <cell r="F49">
            <v>0</v>
          </cell>
          <cell r="K49">
            <v>0</v>
          </cell>
          <cell r="L49">
            <v>0</v>
          </cell>
        </row>
        <row r="50">
          <cell r="C50" t="str">
            <v>Furnishing and Equipment</v>
          </cell>
          <cell r="D50"/>
          <cell r="F50">
            <v>0</v>
          </cell>
          <cell r="K50">
            <v>0</v>
          </cell>
          <cell r="L50">
            <v>0</v>
          </cell>
        </row>
        <row r="51">
          <cell r="C51" t="str">
            <v>Unusual Site Conditions</v>
          </cell>
          <cell r="D51"/>
          <cell r="F51">
            <v>0</v>
          </cell>
          <cell r="K51">
            <v>0</v>
          </cell>
        </row>
        <row r="52">
          <cell r="C52" t="str">
            <v>Other Site Work</v>
          </cell>
          <cell r="D52"/>
          <cell r="F52">
            <v>0</v>
          </cell>
          <cell r="K52"/>
          <cell r="L52">
            <v>0</v>
          </cell>
        </row>
        <row r="53">
          <cell r="F53">
            <v>0</v>
          </cell>
        </row>
        <row r="55">
          <cell r="C55" t="str">
            <v>General Requirements</v>
          </cell>
          <cell r="D55"/>
          <cell r="F55">
            <v>0</v>
          </cell>
          <cell r="J55">
            <v>0</v>
          </cell>
          <cell r="K55"/>
          <cell r="L55">
            <v>0</v>
          </cell>
        </row>
        <row r="56">
          <cell r="C56" t="str">
            <v>Contractor Overhead</v>
          </cell>
          <cell r="D56"/>
          <cell r="F56">
            <v>0</v>
          </cell>
          <cell r="K56"/>
          <cell r="L56">
            <v>0</v>
          </cell>
        </row>
        <row r="57">
          <cell r="C57" t="str">
            <v>Contractor Profit</v>
          </cell>
          <cell r="D57"/>
          <cell r="F57">
            <v>0</v>
          </cell>
          <cell r="K57"/>
          <cell r="L57">
            <v>0</v>
          </cell>
        </row>
        <row r="58">
          <cell r="C58" t="str">
            <v>Construction Supervision</v>
          </cell>
          <cell r="D58"/>
          <cell r="F58">
            <v>0</v>
          </cell>
          <cell r="K58"/>
          <cell r="L58">
            <v>0</v>
          </cell>
        </row>
        <row r="59">
          <cell r="F59">
            <v>0</v>
          </cell>
          <cell r="K59">
            <v>0</v>
          </cell>
        </row>
        <row r="60">
          <cell r="F60">
            <v>0</v>
          </cell>
          <cell r="K60">
            <v>0</v>
          </cell>
        </row>
        <row r="64">
          <cell r="C64" t="str">
            <v>Construction Contingency</v>
          </cell>
          <cell r="D64"/>
          <cell r="F64">
            <v>0</v>
          </cell>
          <cell r="K64"/>
          <cell r="L64">
            <v>0</v>
          </cell>
        </row>
        <row r="65">
          <cell r="C65" t="str">
            <v>Other Contingency</v>
          </cell>
          <cell r="D65"/>
          <cell r="F65">
            <v>0</v>
          </cell>
          <cell r="K65"/>
          <cell r="L65">
            <v>0</v>
          </cell>
        </row>
        <row r="66">
          <cell r="F66">
            <v>0</v>
          </cell>
        </row>
        <row r="69">
          <cell r="C69" t="str">
            <v>WHEDA Application Fees (incl. T/E Ap Fee)</v>
          </cell>
          <cell r="D69"/>
          <cell r="F69">
            <v>0</v>
          </cell>
          <cell r="K69">
            <v>0</v>
          </cell>
        </row>
        <row r="70">
          <cell r="C70" t="str">
            <v>T/E Bond Allocation/Reservation Fees</v>
          </cell>
          <cell r="D70"/>
          <cell r="F70">
            <v>0</v>
          </cell>
        </row>
        <row r="71">
          <cell r="C71" t="str">
            <v>Construction Loan Origination Fee - WHEDA</v>
          </cell>
          <cell r="D71"/>
          <cell r="F71">
            <v>0</v>
          </cell>
          <cell r="K71"/>
          <cell r="L71">
            <v>0</v>
          </cell>
        </row>
        <row r="72">
          <cell r="C72" t="str">
            <v>Construction Loan Origination Fee - Non WHEDA</v>
          </cell>
          <cell r="D72"/>
          <cell r="F72">
            <v>0</v>
          </cell>
          <cell r="K72"/>
          <cell r="L72">
            <v>0</v>
          </cell>
        </row>
        <row r="73">
          <cell r="C73" t="str">
            <v>WHEDA Legal/Structuring Fees</v>
          </cell>
          <cell r="D73"/>
          <cell r="F73">
            <v>0</v>
          </cell>
          <cell r="K73">
            <v>0</v>
          </cell>
        </row>
        <row r="74">
          <cell r="C74" t="str">
            <v>WHEDA Construction Inspection Fees</v>
          </cell>
          <cell r="D74"/>
          <cell r="F74">
            <v>0</v>
          </cell>
          <cell r="K74">
            <v>0</v>
          </cell>
        </row>
        <row r="75">
          <cell r="C75" t="str">
            <v>Other Fees and Expenses</v>
          </cell>
          <cell r="D75"/>
          <cell r="F75">
            <v>0</v>
          </cell>
          <cell r="K75">
            <v>0</v>
          </cell>
        </row>
        <row r="76">
          <cell r="F76">
            <v>0</v>
          </cell>
        </row>
        <row r="78">
          <cell r="C78" t="str">
            <v>Cost of Bond Issuance</v>
          </cell>
          <cell r="D78"/>
          <cell r="F78">
            <v>0</v>
          </cell>
        </row>
        <row r="79">
          <cell r="F79">
            <v>0</v>
          </cell>
        </row>
        <row r="81">
          <cell r="C81" t="str">
            <v>Bridge Loan Fees and Expenses</v>
          </cell>
          <cell r="D81"/>
          <cell r="F81">
            <v>0</v>
          </cell>
        </row>
        <row r="82">
          <cell r="C82" t="str">
            <v>Predev./ Bridge Financing Fees</v>
          </cell>
          <cell r="D82"/>
          <cell r="F82">
            <v>0</v>
          </cell>
        </row>
        <row r="83">
          <cell r="C83" t="str">
            <v>Predev / Bridge Origination Fees</v>
          </cell>
          <cell r="D83"/>
          <cell r="F83">
            <v>0</v>
          </cell>
        </row>
        <row r="84">
          <cell r="C84" t="str">
            <v>WHEDA Construction Loan Interest</v>
          </cell>
          <cell r="F84">
            <v>0</v>
          </cell>
          <cell r="K84"/>
          <cell r="L84">
            <v>0</v>
          </cell>
        </row>
        <row r="85">
          <cell r="C85" t="str">
            <v>Other Construction Loan Interest</v>
          </cell>
          <cell r="D85"/>
          <cell r="F85">
            <v>0</v>
          </cell>
          <cell r="K85"/>
          <cell r="L85">
            <v>0</v>
          </cell>
        </row>
        <row r="86">
          <cell r="C86" t="str">
            <v>Construction Lender Legal Fees</v>
          </cell>
          <cell r="D86"/>
          <cell r="F86">
            <v>0</v>
          </cell>
          <cell r="K86"/>
        </row>
        <row r="87">
          <cell r="C87" t="str">
            <v>Lender Inspection Fees</v>
          </cell>
          <cell r="D87"/>
          <cell r="F87">
            <v>0</v>
          </cell>
          <cell r="K87"/>
        </row>
        <row r="88">
          <cell r="C88" t="str">
            <v>Legal Fees - Miscellaneous</v>
          </cell>
          <cell r="D88"/>
          <cell r="F88">
            <v>0</v>
          </cell>
          <cell r="K88"/>
          <cell r="L88">
            <v>0</v>
          </cell>
        </row>
        <row r="89">
          <cell r="F89">
            <v>0</v>
          </cell>
        </row>
        <row r="91">
          <cell r="C91" t="str">
            <v>Construction Loan Credit Enhancement/LOC</v>
          </cell>
          <cell r="D91"/>
          <cell r="F91">
            <v>0</v>
          </cell>
          <cell r="K91"/>
          <cell r="L91">
            <v>0</v>
          </cell>
        </row>
        <row r="92">
          <cell r="C92" t="str">
            <v>Construction Period Real Estate Taxes</v>
          </cell>
          <cell r="D92"/>
          <cell r="F92">
            <v>0</v>
          </cell>
          <cell r="K92"/>
          <cell r="L92">
            <v>0</v>
          </cell>
        </row>
        <row r="93">
          <cell r="C93" t="str">
            <v>Title and Recording</v>
          </cell>
          <cell r="D93"/>
          <cell r="F93">
            <v>0</v>
          </cell>
          <cell r="K93"/>
          <cell r="L93">
            <v>0</v>
          </cell>
        </row>
        <row r="94">
          <cell r="C94" t="str">
            <v>Green Building Cert/ Inspections</v>
          </cell>
          <cell r="D94"/>
          <cell r="F94">
            <v>0</v>
          </cell>
          <cell r="K94"/>
        </row>
        <row r="95">
          <cell r="C95" t="str">
            <v>Construction Insurance</v>
          </cell>
          <cell r="D95"/>
          <cell r="F95">
            <v>0</v>
          </cell>
          <cell r="K95"/>
          <cell r="L95">
            <v>0</v>
          </cell>
        </row>
        <row r="96">
          <cell r="C96" t="str">
            <v>Construction Liability Insurance</v>
          </cell>
          <cell r="D96"/>
          <cell r="F96">
            <v>0</v>
          </cell>
          <cell r="K96"/>
        </row>
        <row r="97">
          <cell r="C97" t="str">
            <v>Other Interim/Const Costs</v>
          </cell>
          <cell r="D97"/>
          <cell r="F97">
            <v>0</v>
          </cell>
          <cell r="K97"/>
        </row>
        <row r="98">
          <cell r="C98" t="str">
            <v>Temporary Relocation Expenses</v>
          </cell>
          <cell r="D98"/>
          <cell r="F98">
            <v>0</v>
          </cell>
          <cell r="K98"/>
          <cell r="L98">
            <v>0</v>
          </cell>
        </row>
        <row r="99">
          <cell r="C99" t="str">
            <v>Permanent Relocation Expenses</v>
          </cell>
          <cell r="D99"/>
          <cell r="F99">
            <v>0</v>
          </cell>
        </row>
        <row r="100">
          <cell r="C100" t="str">
            <v>Other Interim/Construction Costs</v>
          </cell>
          <cell r="D100"/>
          <cell r="F100">
            <v>0</v>
          </cell>
          <cell r="K100"/>
          <cell r="L100">
            <v>0</v>
          </cell>
        </row>
        <row r="101">
          <cell r="F101">
            <v>0</v>
          </cell>
        </row>
        <row r="105">
          <cell r="C105" t="str">
            <v>Permanent Loan Origination Fee - Non WHEDA</v>
          </cell>
          <cell r="D105"/>
          <cell r="F105">
            <v>0</v>
          </cell>
        </row>
        <row r="106">
          <cell r="C106" t="str">
            <v>Permanent Loan Origination Fee - WHEDA</v>
          </cell>
          <cell r="D106"/>
          <cell r="F106">
            <v>0</v>
          </cell>
        </row>
        <row r="107">
          <cell r="C107" t="str">
            <v>Perm Lender Origination/Points</v>
          </cell>
          <cell r="D107"/>
          <cell r="F107">
            <v>0</v>
          </cell>
        </row>
        <row r="108">
          <cell r="C108" t="str">
            <v>Perm Lender Legal Fees</v>
          </cell>
          <cell r="D108"/>
          <cell r="F108">
            <v>0</v>
          </cell>
        </row>
        <row r="109">
          <cell r="C109" t="str">
            <v>Permanent Loan Credit Enhancement</v>
          </cell>
          <cell r="D109"/>
          <cell r="F109">
            <v>0</v>
          </cell>
        </row>
        <row r="110">
          <cell r="C110" t="str">
            <v>Perm Closing Title and Recording</v>
          </cell>
          <cell r="D110"/>
          <cell r="F110">
            <v>0</v>
          </cell>
        </row>
        <row r="111">
          <cell r="C111" t="str">
            <v xml:space="preserve">Perm Closing Property Taxes  </v>
          </cell>
          <cell r="D111"/>
          <cell r="F111">
            <v>0</v>
          </cell>
        </row>
        <row r="112">
          <cell r="C112" t="str">
            <v>Legal Fees - Real Estate</v>
          </cell>
          <cell r="D112"/>
          <cell r="F112">
            <v>0</v>
          </cell>
        </row>
        <row r="113">
          <cell r="C113" t="str">
            <v>Other Financing Fees and Expenses</v>
          </cell>
          <cell r="D113"/>
          <cell r="F113">
            <v>0</v>
          </cell>
        </row>
        <row r="114">
          <cell r="F114">
            <v>0</v>
          </cell>
        </row>
        <row r="116">
          <cell r="C116" t="str">
            <v>Architect's Fee - Design</v>
          </cell>
          <cell r="D116" t="str">
            <v>N/A</v>
          </cell>
          <cell r="F116">
            <v>0</v>
          </cell>
          <cell r="K116"/>
          <cell r="L116">
            <v>0</v>
          </cell>
        </row>
        <row r="117">
          <cell r="C117" t="str">
            <v>Architect's Fee - Inspection/Supervision</v>
          </cell>
          <cell r="D117" t="str">
            <v>N/A</v>
          </cell>
          <cell r="F117">
            <v>0</v>
          </cell>
          <cell r="K117"/>
          <cell r="L117">
            <v>0</v>
          </cell>
        </row>
        <row r="118">
          <cell r="C118" t="str">
            <v>Engineering Costs</v>
          </cell>
          <cell r="D118"/>
          <cell r="F118">
            <v>0</v>
          </cell>
          <cell r="K118"/>
          <cell r="L118">
            <v>0</v>
          </cell>
        </row>
        <row r="119">
          <cell r="C119" t="str">
            <v xml:space="preserve">Survey </v>
          </cell>
          <cell r="D119"/>
          <cell r="F119">
            <v>0</v>
          </cell>
          <cell r="K119"/>
          <cell r="L119">
            <v>0</v>
          </cell>
        </row>
        <row r="120">
          <cell r="C120" t="str">
            <v>Other Architect and Engineering</v>
          </cell>
          <cell r="D120"/>
          <cell r="F120">
            <v>0</v>
          </cell>
          <cell r="K120"/>
          <cell r="L120">
            <v>0</v>
          </cell>
        </row>
        <row r="123">
          <cell r="C123" t="str">
            <v>Organizational (Partnership)</v>
          </cell>
          <cell r="D123"/>
          <cell r="F123">
            <v>0</v>
          </cell>
        </row>
        <row r="124">
          <cell r="C124" t="str">
            <v>Other Syndication Costs</v>
          </cell>
          <cell r="D124"/>
        </row>
        <row r="125">
          <cell r="F125">
            <v>0</v>
          </cell>
        </row>
        <row r="126">
          <cell r="C126" t="str">
            <v>Other Syndication Costs</v>
          </cell>
          <cell r="D126"/>
          <cell r="F126">
            <v>0</v>
          </cell>
        </row>
        <row r="127">
          <cell r="F127">
            <v>0</v>
          </cell>
        </row>
        <row r="129">
          <cell r="C129" t="str">
            <v>Operating Reserve</v>
          </cell>
          <cell r="D129"/>
          <cell r="F129">
            <v>0</v>
          </cell>
        </row>
        <row r="130">
          <cell r="C130" t="str">
            <v>Replacement Reserve</v>
          </cell>
          <cell r="D130"/>
          <cell r="F130">
            <v>0</v>
          </cell>
        </row>
        <row r="131">
          <cell r="C131" t="str">
            <v>Lease-up Operating Deficit</v>
          </cell>
          <cell r="D131"/>
          <cell r="F131">
            <v>0</v>
          </cell>
        </row>
        <row r="132">
          <cell r="C132" t="str">
            <v>Debt Service Reserve</v>
          </cell>
          <cell r="D132"/>
          <cell r="F132">
            <v>0</v>
          </cell>
        </row>
        <row r="133">
          <cell r="C133" t="str">
            <v>Capital Needs Reserve</v>
          </cell>
          <cell r="D133"/>
          <cell r="F133">
            <v>0</v>
          </cell>
        </row>
        <row r="134">
          <cell r="C134" t="str">
            <v>Other Reserves</v>
          </cell>
          <cell r="D134"/>
          <cell r="F134">
            <v>0</v>
          </cell>
        </row>
        <row r="135">
          <cell r="C135" t="str">
            <v>Escrows</v>
          </cell>
          <cell r="D135"/>
          <cell r="F135">
            <v>0</v>
          </cell>
        </row>
        <row r="136">
          <cell r="C136" t="str">
            <v>Other Capitalized Reserves</v>
          </cell>
          <cell r="D136"/>
          <cell r="F136">
            <v>0</v>
          </cell>
        </row>
        <row r="137">
          <cell r="F137">
            <v>0</v>
          </cell>
        </row>
        <row r="140">
          <cell r="C140" t="str">
            <v>Appraisal(s)</v>
          </cell>
          <cell r="D140"/>
          <cell r="F140">
            <v>0</v>
          </cell>
          <cell r="K140"/>
          <cell r="L140">
            <v>0</v>
          </cell>
        </row>
        <row r="141">
          <cell r="C141" t="str">
            <v>Market Study</v>
          </cell>
          <cell r="D141"/>
          <cell r="F141">
            <v>0</v>
          </cell>
          <cell r="K141"/>
          <cell r="L141">
            <v>0</v>
          </cell>
        </row>
        <row r="142">
          <cell r="C142" t="str">
            <v>Capital Needs Assessment Report</v>
          </cell>
          <cell r="D142"/>
          <cell r="F142">
            <v>0</v>
          </cell>
          <cell r="K142"/>
          <cell r="L142">
            <v>0</v>
          </cell>
        </row>
        <row r="143">
          <cell r="C143" t="str">
            <v>Environmental Report</v>
          </cell>
          <cell r="D143"/>
          <cell r="F143">
            <v>0</v>
          </cell>
          <cell r="K143"/>
          <cell r="L143">
            <v>0</v>
          </cell>
        </row>
        <row r="146">
          <cell r="C146" t="str">
            <v>Environmental Review Fee (HOME/Risk Share)</v>
          </cell>
          <cell r="F146">
            <v>0</v>
          </cell>
          <cell r="K146">
            <v>0</v>
          </cell>
        </row>
        <row r="147">
          <cell r="C147" t="str">
            <v xml:space="preserve">Soils Geotech Report / Soil Borings Expense </v>
          </cell>
          <cell r="F147">
            <v>0</v>
          </cell>
          <cell r="K147">
            <v>0</v>
          </cell>
        </row>
        <row r="148">
          <cell r="C148" t="str">
            <v>Boundary / Topo-Survey</v>
          </cell>
          <cell r="F148">
            <v>0</v>
          </cell>
          <cell r="K148">
            <v>0</v>
          </cell>
        </row>
        <row r="149">
          <cell r="C149" t="str">
            <v>Third Party Review Fees</v>
          </cell>
          <cell r="F149">
            <v>0</v>
          </cell>
          <cell r="K149">
            <v>0</v>
          </cell>
        </row>
        <row r="150">
          <cell r="C150" t="str">
            <v>Other Zoning Study</v>
          </cell>
          <cell r="F150">
            <v>0</v>
          </cell>
          <cell r="K150">
            <v>0</v>
          </cell>
        </row>
        <row r="151">
          <cell r="C151" t="str">
            <v>Other Reports &amp; Studies</v>
          </cell>
          <cell r="F151">
            <v>0</v>
          </cell>
          <cell r="K151">
            <v>0</v>
          </cell>
        </row>
        <row r="155">
          <cell r="C155" t="str">
            <v xml:space="preserve">Federal / Historic Tax Credit Fees </v>
          </cell>
          <cell r="F155">
            <v>0</v>
          </cell>
        </row>
        <row r="156">
          <cell r="C156" t="str">
            <v xml:space="preserve">Tax Credit Application Fee </v>
          </cell>
          <cell r="F156">
            <v>0</v>
          </cell>
        </row>
        <row r="157">
          <cell r="C157" t="str">
            <v xml:space="preserve">Tax Credit Allocation Fee </v>
          </cell>
          <cell r="F157">
            <v>0</v>
          </cell>
        </row>
        <row r="158">
          <cell r="C158" t="str">
            <v>Tax Credit Compliance Fee</v>
          </cell>
          <cell r="D158"/>
          <cell r="F158">
            <v>0</v>
          </cell>
        </row>
        <row r="159">
          <cell r="C159" t="str">
            <v xml:space="preserve">Local / Building Permit Fees </v>
          </cell>
          <cell r="D159"/>
          <cell r="F159">
            <v>0</v>
          </cell>
          <cell r="K159">
            <v>0</v>
          </cell>
        </row>
        <row r="160">
          <cell r="C160" t="str">
            <v>Water, Sewer and Impact Fees</v>
          </cell>
          <cell r="D160"/>
          <cell r="F160">
            <v>0</v>
          </cell>
          <cell r="K160"/>
          <cell r="L160">
            <v>0</v>
          </cell>
        </row>
        <row r="161">
          <cell r="C161" t="str">
            <v>Net Local Development Impact Fees</v>
          </cell>
          <cell r="D161"/>
          <cell r="F161">
            <v>0</v>
          </cell>
          <cell r="K161"/>
        </row>
        <row r="162">
          <cell r="C162" t="str">
            <v>Commercial Costs - non-construction related)</v>
          </cell>
          <cell r="D162"/>
        </row>
        <row r="163">
          <cell r="C163" t="str">
            <v>Cost Certification/Accounting Fees</v>
          </cell>
          <cell r="D163"/>
          <cell r="F163">
            <v>0</v>
          </cell>
          <cell r="K163"/>
        </row>
        <row r="164">
          <cell r="C164" t="str">
            <v>Rent-Up Marketing Expense</v>
          </cell>
          <cell r="D164"/>
        </row>
        <row r="165">
          <cell r="C165" t="str">
            <v>Commercial Marketing &amp; Rent-Up Expenses</v>
          </cell>
          <cell r="D165"/>
        </row>
        <row r="166">
          <cell r="C166" t="str">
            <v>Mortgage Payoff - N/A for Tax Credit Application</v>
          </cell>
          <cell r="D166"/>
        </row>
        <row r="167">
          <cell r="C167" t="str">
            <v>Other Miscellaneous Costs</v>
          </cell>
          <cell r="D167"/>
          <cell r="F167">
            <v>0</v>
          </cell>
          <cell r="K167"/>
          <cell r="L167">
            <v>0</v>
          </cell>
        </row>
        <row r="168">
          <cell r="F168">
            <v>0</v>
          </cell>
        </row>
        <row r="171">
          <cell r="C171" t="str">
            <v>Developer's Fee Received</v>
          </cell>
          <cell r="F171">
            <v>0</v>
          </cell>
          <cell r="K171"/>
          <cell r="L171">
            <v>0</v>
          </cell>
        </row>
        <row r="172">
          <cell r="C172" t="str">
            <v>Developer's Fee - Deferred</v>
          </cell>
          <cell r="F172">
            <v>0</v>
          </cell>
          <cell r="K172"/>
          <cell r="L172">
            <v>0</v>
          </cell>
        </row>
        <row r="173">
          <cell r="C173" t="str">
            <v>Developer Overhead</v>
          </cell>
          <cell r="F173">
            <v>0</v>
          </cell>
          <cell r="K173"/>
          <cell r="L173">
            <v>0</v>
          </cell>
        </row>
        <row r="174">
          <cell r="C174" t="str">
            <v>Consultants</v>
          </cell>
          <cell r="F174">
            <v>0</v>
          </cell>
          <cell r="K174"/>
          <cell r="L174">
            <v>0</v>
          </cell>
        </row>
        <row r="175">
          <cell r="C175" t="str">
            <v>Other Developer's Fees</v>
          </cell>
          <cell r="F175">
            <v>0</v>
          </cell>
          <cell r="K175"/>
          <cell r="L175">
            <v>0</v>
          </cell>
        </row>
        <row r="176">
          <cell r="F176">
            <v>0</v>
          </cell>
        </row>
      </sheetData>
      <sheetData sheetId="22">
        <row r="6">
          <cell r="C6" t="str">
            <v>Credit Calculation</v>
          </cell>
        </row>
        <row r="61">
          <cell r="H61">
            <v>0</v>
          </cell>
          <cell r="Q61">
            <v>0</v>
          </cell>
        </row>
      </sheetData>
      <sheetData sheetId="23">
        <row r="6">
          <cell r="B6" t="str">
            <v>Projected Operating Costs</v>
          </cell>
        </row>
        <row r="9">
          <cell r="D9"/>
        </row>
        <row r="10">
          <cell r="D10"/>
        </row>
        <row r="11">
          <cell r="D11"/>
        </row>
        <row r="13">
          <cell r="D13">
            <v>0</v>
          </cell>
        </row>
        <row r="15">
          <cell r="D15"/>
        </row>
        <row r="16">
          <cell r="D16"/>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v>0</v>
          </cell>
        </row>
        <row r="31">
          <cell r="D31"/>
        </row>
        <row r="32">
          <cell r="D32"/>
        </row>
        <row r="33">
          <cell r="D33"/>
        </row>
        <row r="34">
          <cell r="D34"/>
        </row>
        <row r="35">
          <cell r="D35"/>
        </row>
        <row r="36">
          <cell r="D36"/>
        </row>
        <row r="37">
          <cell r="D37">
            <v>0</v>
          </cell>
        </row>
        <row r="39">
          <cell r="D39"/>
        </row>
        <row r="40">
          <cell r="D40"/>
        </row>
        <row r="41">
          <cell r="D41"/>
        </row>
        <row r="42">
          <cell r="D42"/>
        </row>
        <row r="43">
          <cell r="D43"/>
        </row>
        <row r="44">
          <cell r="D44"/>
        </row>
        <row r="45">
          <cell r="D45"/>
        </row>
        <row r="46">
          <cell r="D46"/>
        </row>
        <row r="47">
          <cell r="D47"/>
        </row>
        <row r="48">
          <cell r="D48"/>
        </row>
        <row r="49">
          <cell r="D49"/>
        </row>
        <row r="50">
          <cell r="D50">
            <v>0</v>
          </cell>
        </row>
        <row r="52">
          <cell r="D52"/>
        </row>
        <row r="53">
          <cell r="D53"/>
        </row>
        <row r="54">
          <cell r="D54"/>
        </row>
        <row r="55">
          <cell r="D55"/>
        </row>
        <row r="56">
          <cell r="D56"/>
        </row>
        <row r="57">
          <cell r="D57"/>
        </row>
        <row r="58">
          <cell r="D58"/>
        </row>
        <row r="59">
          <cell r="D59"/>
        </row>
        <row r="60">
          <cell r="D60">
            <v>0</v>
          </cell>
        </row>
        <row r="86">
          <cell r="D86">
            <v>0</v>
          </cell>
        </row>
        <row r="87">
          <cell r="D87"/>
        </row>
        <row r="88">
          <cell r="D88">
            <v>0</v>
          </cell>
        </row>
        <row r="90">
          <cell r="D90">
            <v>0</v>
          </cell>
        </row>
      </sheetData>
      <sheetData sheetId="24">
        <row r="6">
          <cell r="B6" t="str">
            <v>Projected Cash Flow</v>
          </cell>
        </row>
      </sheetData>
      <sheetData sheetId="25">
        <row r="6">
          <cell r="B6" t="str">
            <v>Financial Feasibility</v>
          </cell>
        </row>
      </sheetData>
      <sheetData sheetId="26">
        <row r="6">
          <cell r="C6" t="str">
            <v>Max Cost Model</v>
          </cell>
        </row>
      </sheetData>
      <sheetData sheetId="27">
        <row r="6">
          <cell r="B6" t="str">
            <v>Replacement Reserves</v>
          </cell>
        </row>
      </sheetData>
      <sheetData sheetId="28"/>
      <sheetData sheetId="29">
        <row r="7">
          <cell r="B7" t="str">
            <v>Instructions / Scoring Summary</v>
          </cell>
        </row>
        <row r="32">
          <cell r="G32">
            <v>0</v>
          </cell>
        </row>
        <row r="33">
          <cell r="G33">
            <v>0</v>
          </cell>
        </row>
        <row r="34">
          <cell r="G34">
            <v>0</v>
          </cell>
        </row>
        <row r="35">
          <cell r="G35">
            <v>0</v>
          </cell>
        </row>
        <row r="36">
          <cell r="G36">
            <v>0</v>
          </cell>
        </row>
        <row r="37">
          <cell r="G37">
            <v>0</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54">
          <cell r="G54">
            <v>0</v>
          </cell>
        </row>
      </sheetData>
      <sheetData sheetId="30">
        <row r="6">
          <cell r="B6" t="str">
            <v>Lower-Income Areas</v>
          </cell>
        </row>
      </sheetData>
      <sheetData sheetId="31">
        <row r="6">
          <cell r="B6" t="str">
            <v>Energy Efficiency and Sustainability</v>
          </cell>
        </row>
      </sheetData>
      <sheetData sheetId="32">
        <row r="6">
          <cell r="B6" t="str">
            <v>Mixed Income Incentive</v>
          </cell>
        </row>
      </sheetData>
      <sheetData sheetId="33">
        <row r="6">
          <cell r="B6" t="str">
            <v>Serves Large Families</v>
          </cell>
        </row>
      </sheetData>
      <sheetData sheetId="34">
        <row r="6">
          <cell r="B6" t="str">
            <v>Serves Lowest-Income Residents</v>
          </cell>
        </row>
      </sheetData>
      <sheetData sheetId="35">
        <row r="6">
          <cell r="B6" t="str">
            <v>Supportive Housing</v>
          </cell>
        </row>
      </sheetData>
      <sheetData sheetId="36">
        <row r="6">
          <cell r="B6" t="str">
            <v>Veteran's Housing</v>
          </cell>
        </row>
      </sheetData>
      <sheetData sheetId="37">
        <row r="6">
          <cell r="B6" t="str">
            <v>Rehab/Neighborhood Stabilization</v>
          </cell>
        </row>
      </sheetData>
      <sheetData sheetId="38">
        <row r="6">
          <cell r="B6" t="str">
            <v>Universal Design</v>
          </cell>
        </row>
      </sheetData>
      <sheetData sheetId="39">
        <row r="6">
          <cell r="B6" t="str">
            <v>Financial Leverage</v>
          </cell>
        </row>
      </sheetData>
      <sheetData sheetId="40">
        <row r="6">
          <cell r="B6" t="str">
            <v>Eventual Tenant Ownership</v>
          </cell>
        </row>
      </sheetData>
      <sheetData sheetId="41">
        <row r="6">
          <cell r="B6" t="str">
            <v>Development Team</v>
          </cell>
        </row>
      </sheetData>
      <sheetData sheetId="42">
        <row r="6">
          <cell r="B6" t="str">
            <v>Area of Economic Opportunity</v>
          </cell>
        </row>
      </sheetData>
      <sheetData sheetId="43">
        <row r="6">
          <cell r="B6" t="str">
            <v>Rural or Tribal Areas without Recent Housing Tax Credit Awards</v>
          </cell>
        </row>
      </sheetData>
      <sheetData sheetId="44">
        <row r="6">
          <cell r="B6" t="str">
            <v>Workforce Housing Communities</v>
          </cell>
        </row>
      </sheetData>
      <sheetData sheetId="45">
        <row r="6">
          <cell r="B6" t="str">
            <v>Community Service Facilities</v>
          </cell>
        </row>
      </sheetData>
      <sheetData sheetId="46">
        <row r="6">
          <cell r="B6" t="str">
            <v>Serves Special Needs Population</v>
          </cell>
        </row>
      </sheetData>
      <sheetData sheetId="47">
        <row r="6">
          <cell r="B6" t="str">
            <v>Catalyst for Revitalization</v>
          </cell>
        </row>
      </sheetData>
      <sheetData sheetId="48">
        <row r="6">
          <cell r="B6" t="str">
            <v>Health and the Built Environment</v>
          </cell>
        </row>
      </sheetData>
      <sheetData sheetId="49">
        <row r="6">
          <cell r="B6" t="str">
            <v>Innovative Housing Narrative</v>
          </cell>
        </row>
      </sheetData>
      <sheetData sheetId="50">
        <row r="6">
          <cell r="B6" t="str">
            <v>Nonprofit Ownership</v>
          </cell>
        </row>
      </sheetData>
      <sheetData sheetId="51">
        <row r="1">
          <cell r="D1" t="str">
            <v>Application Submission Checklist - Submit with Initial Application Only</v>
          </cell>
        </row>
      </sheetData>
      <sheetData sheetId="52">
        <row r="1">
          <cell r="D1" t="str">
            <v>Self-Scoring Checklist - Submit with Initial Application Only</v>
          </cell>
        </row>
      </sheetData>
      <sheetData sheetId="53">
        <row r="6">
          <cell r="B6" t="str">
            <v>WHEDA Loan Signature Page</v>
          </cell>
        </row>
      </sheetData>
      <sheetData sheetId="54">
        <row r="6">
          <cell r="B6" t="str">
            <v>Tax Credit Signature Page</v>
          </cell>
        </row>
      </sheetData>
      <sheetData sheetId="55"/>
      <sheetData sheetId="56">
        <row r="2">
          <cell r="C2" t="str">
            <v>AK</v>
          </cell>
          <cell r="E2" t="str">
            <v>Adams County</v>
          </cell>
          <cell r="G2" t="str">
            <v>CBRF</v>
          </cell>
          <cell r="I2" t="str">
            <v>Acquisition/New Construction</v>
          </cell>
          <cell r="K2" t="str">
            <v>0 Bedroom</v>
          </cell>
          <cell r="M2" t="str">
            <v>Yes</v>
          </cell>
          <cell r="O2" t="str">
            <v>Yes</v>
          </cell>
          <cell r="Q2" t="str">
            <v>Yes</v>
          </cell>
          <cell r="S2" t="str">
            <v>Yes</v>
          </cell>
          <cell r="U2" t="str">
            <v>Yes</v>
          </cell>
          <cell r="W2" t="str">
            <v>Yes</v>
          </cell>
          <cell r="Y2" t="str">
            <v>Yes</v>
          </cell>
          <cell r="AA2" t="str">
            <v>Yes</v>
          </cell>
          <cell r="AC2" t="str">
            <v>Yes</v>
          </cell>
          <cell r="AE2" t="str">
            <v>Yes</v>
          </cell>
          <cell r="AG2" t="str">
            <v>Yes</v>
          </cell>
          <cell r="AI2" t="str">
            <v>Yes</v>
          </cell>
          <cell r="AK2" t="str">
            <v>Yes</v>
          </cell>
          <cell r="AM2" t="str">
            <v>Permanent</v>
          </cell>
          <cell r="AO2" t="str">
            <v>Electric Baseboard</v>
          </cell>
          <cell r="AQ2" t="str">
            <v>Central Air</v>
          </cell>
          <cell r="AS2" t="str">
            <v>Electric</v>
          </cell>
          <cell r="AU2" t="str">
            <v>Electric</v>
          </cell>
          <cell r="AW2" t="str">
            <v>Apartments</v>
          </cell>
          <cell r="AY2" t="str">
            <v>20%</v>
          </cell>
          <cell r="BA2" t="str">
            <v>0 Bedroom</v>
          </cell>
          <cell r="BC2" t="str">
            <v>7/10 Flex Financing</v>
          </cell>
          <cell r="BE2" t="str">
            <v>Mortgage Loan</v>
          </cell>
          <cell r="BG2" t="str">
            <v>0 Bedroom</v>
          </cell>
          <cell r="BI2" t="str">
            <v>Apartment</v>
          </cell>
          <cell r="BK2" t="str">
            <v>20%</v>
          </cell>
          <cell r="BM2" t="str">
            <v>Company</v>
          </cell>
          <cell r="BO2" t="str">
            <v>Applicant</v>
          </cell>
          <cell r="BQ2" t="str">
            <v>Yes</v>
          </cell>
          <cell r="BS2" t="str">
            <v>Yes</v>
          </cell>
          <cell r="BU2" t="str">
            <v>N/A</v>
          </cell>
          <cell r="BW2" t="str">
            <v>20/50</v>
          </cell>
          <cell r="BY2" t="str">
            <v>Yes</v>
          </cell>
          <cell r="CA2" t="str">
            <v>Yes</v>
          </cell>
          <cell r="CC2" t="str">
            <v>Yes</v>
          </cell>
          <cell r="CE2" t="str">
            <v>Yes</v>
          </cell>
          <cell r="CG2" t="str">
            <v>Yes</v>
          </cell>
          <cell r="CI2" t="str">
            <v>Yes</v>
          </cell>
          <cell r="CK2" t="str">
            <v>Yes</v>
          </cell>
          <cell r="CM2" t="str">
            <v>Yes</v>
          </cell>
          <cell r="CO2" t="str">
            <v>Yes</v>
          </cell>
          <cell r="CQ2" t="str">
            <v>Yes</v>
          </cell>
          <cell r="CS2" t="str">
            <v>Yes</v>
          </cell>
          <cell r="CU2" t="str">
            <v>Yes</v>
          </cell>
        </row>
        <row r="3">
          <cell r="C3" t="str">
            <v>AL</v>
          </cell>
          <cell r="E3" t="str">
            <v>Ashland County</v>
          </cell>
          <cell r="G3" t="str">
            <v>Elderly</v>
          </cell>
          <cell r="I3" t="str">
            <v>Acquisition/Rehab</v>
          </cell>
          <cell r="K3" t="str">
            <v>1 Bedroom</v>
          </cell>
          <cell r="M3" t="str">
            <v>No</v>
          </cell>
          <cell r="O3" t="str">
            <v>No</v>
          </cell>
          <cell r="Q3" t="str">
            <v>No</v>
          </cell>
          <cell r="S3" t="str">
            <v>No</v>
          </cell>
          <cell r="U3" t="str">
            <v>No</v>
          </cell>
          <cell r="W3" t="str">
            <v>No</v>
          </cell>
          <cell r="Y3" t="str">
            <v>No</v>
          </cell>
          <cell r="AA3" t="str">
            <v>No</v>
          </cell>
          <cell r="AC3" t="str">
            <v>No</v>
          </cell>
          <cell r="AE3" t="str">
            <v>No</v>
          </cell>
          <cell r="AG3" t="str">
            <v>No</v>
          </cell>
          <cell r="AI3" t="str">
            <v>No</v>
          </cell>
          <cell r="AK3" t="str">
            <v>No</v>
          </cell>
          <cell r="AM3" t="str">
            <v>Subsidized Funding</v>
          </cell>
          <cell r="AO3" t="str">
            <v>Electric Forced Air</v>
          </cell>
          <cell r="AQ3" t="str">
            <v>Central Chiller</v>
          </cell>
          <cell r="AS3" t="str">
            <v>Gas</v>
          </cell>
          <cell r="AU3" t="str">
            <v>Gas</v>
          </cell>
          <cell r="AW3" t="str">
            <v>Duplex</v>
          </cell>
          <cell r="AY3" t="str">
            <v>30%</v>
          </cell>
          <cell r="BA3" t="str">
            <v>1 Bedroom</v>
          </cell>
          <cell r="BC3" t="str">
            <v>Construction Plus Loan</v>
          </cell>
          <cell r="BE3" t="str">
            <v>Participating Loan</v>
          </cell>
          <cell r="BG3" t="str">
            <v>1 Bedroom</v>
          </cell>
          <cell r="BI3" t="str">
            <v>Duplex</v>
          </cell>
          <cell r="BK3" t="str">
            <v>30%</v>
          </cell>
          <cell r="BM3" t="str">
            <v>Individual</v>
          </cell>
          <cell r="BO3" t="str">
            <v>Parent Company</v>
          </cell>
          <cell r="BQ3" t="str">
            <v>No</v>
          </cell>
          <cell r="BS3" t="str">
            <v>No</v>
          </cell>
          <cell r="BU3" t="str">
            <v>General Set-Aside</v>
          </cell>
          <cell r="BW3" t="str">
            <v>40/60</v>
          </cell>
          <cell r="BY3" t="str">
            <v>No</v>
          </cell>
          <cell r="CA3" t="str">
            <v>No</v>
          </cell>
          <cell r="CC3" t="str">
            <v>No</v>
          </cell>
          <cell r="CE3" t="str">
            <v>No</v>
          </cell>
          <cell r="CG3" t="str">
            <v>No</v>
          </cell>
          <cell r="CI3" t="str">
            <v>No</v>
          </cell>
          <cell r="CK3" t="str">
            <v>No</v>
          </cell>
          <cell r="CM3" t="str">
            <v>No</v>
          </cell>
          <cell r="CO3" t="str">
            <v>No</v>
          </cell>
          <cell r="CQ3" t="str">
            <v>No</v>
          </cell>
          <cell r="CS3" t="str">
            <v>No</v>
          </cell>
          <cell r="CU3" t="str">
            <v>No</v>
          </cell>
        </row>
        <row r="4">
          <cell r="C4" t="str">
            <v>AR</v>
          </cell>
          <cell r="E4" t="str">
            <v>Barron County</v>
          </cell>
          <cell r="G4" t="str">
            <v>Family</v>
          </cell>
          <cell r="I4" t="str">
            <v>Adaptive Reuse</v>
          </cell>
          <cell r="K4" t="str">
            <v>2 Bedroom</v>
          </cell>
          <cell r="AM4" t="str">
            <v>Grant</v>
          </cell>
          <cell r="AO4" t="str">
            <v>Gas Forced Air</v>
          </cell>
          <cell r="AQ4" t="str">
            <v>Through Wall</v>
          </cell>
          <cell r="AS4" t="str">
            <v>Oil Fired</v>
          </cell>
          <cell r="AU4" t="str">
            <v>Combo</v>
          </cell>
          <cell r="AW4" t="str">
            <v>Other-Mixed</v>
          </cell>
          <cell r="AY4" t="str">
            <v>40%</v>
          </cell>
          <cell r="BA4" t="str">
            <v>2 Bedroom</v>
          </cell>
          <cell r="BC4" t="str">
            <v>Stand-Alone Bond Financing</v>
          </cell>
          <cell r="BE4" t="str">
            <v>Subsidy Loan</v>
          </cell>
          <cell r="BG4" t="str">
            <v>2 Bedroom</v>
          </cell>
          <cell r="BI4" t="str">
            <v>Single Family</v>
          </cell>
          <cell r="BK4" t="str">
            <v>40%</v>
          </cell>
          <cell r="BO4" t="str">
            <v>Consultant/Application Preparer</v>
          </cell>
          <cell r="BU4" t="str">
            <v>Innovative Housing Set-Aside</v>
          </cell>
          <cell r="BW4" t="str">
            <v>Income Averaging</v>
          </cell>
        </row>
        <row r="5">
          <cell r="C5" t="str">
            <v>AZ</v>
          </cell>
          <cell r="E5" t="str">
            <v>Bayfield County</v>
          </cell>
          <cell r="G5" t="str">
            <v>Homeless</v>
          </cell>
          <cell r="I5" t="str">
            <v>Adaptive Reuse/New Construction</v>
          </cell>
          <cell r="K5" t="str">
            <v>3 Bedroom</v>
          </cell>
          <cell r="AO5" t="str">
            <v>Gas Radiant</v>
          </cell>
          <cell r="AQ5" t="str">
            <v>Window Unit</v>
          </cell>
          <cell r="AW5" t="str">
            <v>Single Family House</v>
          </cell>
          <cell r="AY5" t="str">
            <v>50%</v>
          </cell>
          <cell r="BA5" t="str">
            <v>3 Bedroom</v>
          </cell>
          <cell r="BC5" t="str">
            <v>Subordinate Debt Financing</v>
          </cell>
          <cell r="BE5" t="str">
            <v>Third Party Loan</v>
          </cell>
          <cell r="BG5" t="str">
            <v>3 Bedroom</v>
          </cell>
          <cell r="BI5" t="str">
            <v>Townhouses</v>
          </cell>
          <cell r="BK5" t="str">
            <v>50%</v>
          </cell>
          <cell r="BO5" t="str">
            <v>General Contractor</v>
          </cell>
          <cell r="BU5" t="str">
            <v>Non-Profit Set-Aside</v>
          </cell>
        </row>
        <row r="6">
          <cell r="C6" t="str">
            <v>CA</v>
          </cell>
          <cell r="E6" t="str">
            <v>Brown County</v>
          </cell>
          <cell r="G6" t="str">
            <v>RCAC</v>
          </cell>
          <cell r="I6" t="str">
            <v>Equity Take Out</v>
          </cell>
          <cell r="K6" t="str">
            <v>4 Bedroom</v>
          </cell>
          <cell r="AO6" t="str">
            <v>Heat Pump</v>
          </cell>
          <cell r="AW6" t="str">
            <v>Single Room Occupancy</v>
          </cell>
          <cell r="AY6" t="str">
            <v>60%</v>
          </cell>
          <cell r="BA6" t="str">
            <v>4 Bedroom</v>
          </cell>
          <cell r="BC6" t="str">
            <v>NONE</v>
          </cell>
          <cell r="BE6" t="str">
            <v>Permanent Immediate</v>
          </cell>
          <cell r="BG6" t="str">
            <v>4 Bedroom</v>
          </cell>
          <cell r="BK6" t="str">
            <v>60%</v>
          </cell>
          <cell r="BO6" t="str">
            <v>Equity Investor/Syndicator</v>
          </cell>
          <cell r="BU6" t="str">
            <v>Preservation Set-Aside</v>
          </cell>
        </row>
        <row r="7">
          <cell r="C7" t="str">
            <v>CO</v>
          </cell>
          <cell r="E7" t="str">
            <v>Buffalo County</v>
          </cell>
          <cell r="G7" t="str">
            <v>Single Room Occupancy</v>
          </cell>
          <cell r="I7" t="str">
            <v>New Construction</v>
          </cell>
          <cell r="K7" t="str">
            <v>5 Bedroom</v>
          </cell>
          <cell r="AO7" t="str">
            <v>Oil Forced Air</v>
          </cell>
          <cell r="AW7" t="str">
            <v>Townhome/Row</v>
          </cell>
          <cell r="AY7" t="str">
            <v>70%</v>
          </cell>
          <cell r="BA7" t="str">
            <v>5 Bedroom</v>
          </cell>
          <cell r="BE7" t="str">
            <v>Permanent Forward</v>
          </cell>
          <cell r="BG7" t="str">
            <v>5 Bedroom</v>
          </cell>
          <cell r="BK7" t="str">
            <v>70%</v>
          </cell>
          <cell r="BO7" t="str">
            <v>Supervisory Architect</v>
          </cell>
          <cell r="BU7" t="str">
            <v>Rural Set-Aside</v>
          </cell>
        </row>
        <row r="8">
          <cell r="C8" t="str">
            <v>CT</v>
          </cell>
          <cell r="E8" t="str">
            <v>Burnett County</v>
          </cell>
          <cell r="G8" t="str">
            <v>Supportive Housing</v>
          </cell>
          <cell r="I8" t="str">
            <v>Refinance</v>
          </cell>
          <cell r="AO8" t="str">
            <v>Oil Radiant</v>
          </cell>
          <cell r="AY8" t="str">
            <v>80%</v>
          </cell>
          <cell r="BE8" t="str">
            <v>Construction/Permanent</v>
          </cell>
          <cell r="BK8" t="str">
            <v>80%</v>
          </cell>
          <cell r="BO8" t="str">
            <v>Attorney</v>
          </cell>
          <cell r="BU8" t="str">
            <v>Small Urban</v>
          </cell>
        </row>
        <row r="9">
          <cell r="C9" t="str">
            <v>DC</v>
          </cell>
          <cell r="E9" t="str">
            <v>Calumet County</v>
          </cell>
          <cell r="BE9" t="str">
            <v>Gap Financing</v>
          </cell>
          <cell r="BO9" t="str">
            <v>Developer</v>
          </cell>
          <cell r="BU9" t="str">
            <v>Supportive Housing Set-Aside</v>
          </cell>
        </row>
        <row r="10">
          <cell r="C10" t="str">
            <v>DE</v>
          </cell>
          <cell r="E10" t="str">
            <v>Chippewa County</v>
          </cell>
          <cell r="BE10" t="str">
            <v>Standby</v>
          </cell>
          <cell r="BO10" t="str">
            <v>Management Agent</v>
          </cell>
        </row>
        <row r="11">
          <cell r="C11" t="str">
            <v>FL</v>
          </cell>
          <cell r="E11" t="str">
            <v>Clark County</v>
          </cell>
          <cell r="BE11" t="str">
            <v>Construction Only</v>
          </cell>
          <cell r="BO11" t="str">
            <v>Owner</v>
          </cell>
        </row>
        <row r="12">
          <cell r="C12" t="str">
            <v>GA</v>
          </cell>
          <cell r="E12" t="str">
            <v>Columbia County</v>
          </cell>
          <cell r="BE12" t="str">
            <v>RD</v>
          </cell>
          <cell r="BO12" t="str">
            <v>Title Company</v>
          </cell>
        </row>
        <row r="13">
          <cell r="C13" t="str">
            <v>HI</v>
          </cell>
          <cell r="E13" t="str">
            <v>Crawford County</v>
          </cell>
          <cell r="BE13" t="str">
            <v>Permanent</v>
          </cell>
          <cell r="BO13" t="str">
            <v>Service Bureau</v>
          </cell>
        </row>
        <row r="14">
          <cell r="C14" t="str">
            <v>IA</v>
          </cell>
          <cell r="E14" t="str">
            <v>Dane County</v>
          </cell>
          <cell r="BO14" t="str">
            <v>Insurance Broker</v>
          </cell>
        </row>
        <row r="15">
          <cell r="C15" t="str">
            <v>ID</v>
          </cell>
          <cell r="E15" t="str">
            <v>Dodge County</v>
          </cell>
          <cell r="BO15" t="str">
            <v>Insurance Carrier</v>
          </cell>
        </row>
        <row r="16">
          <cell r="C16" t="str">
            <v>IL</v>
          </cell>
          <cell r="E16" t="str">
            <v>Door County</v>
          </cell>
          <cell r="BO16" t="str">
            <v>Accountant</v>
          </cell>
        </row>
        <row r="17">
          <cell r="C17" t="str">
            <v>IN</v>
          </cell>
          <cell r="E17" t="str">
            <v>Douglas County</v>
          </cell>
          <cell r="BO17" t="str">
            <v>Architect</v>
          </cell>
        </row>
        <row r="18">
          <cell r="C18" t="str">
            <v>KS</v>
          </cell>
          <cell r="E18" t="str">
            <v>Dunn County</v>
          </cell>
          <cell r="BO18" t="str">
            <v>Lender</v>
          </cell>
        </row>
        <row r="19">
          <cell r="C19" t="str">
            <v>KY</v>
          </cell>
          <cell r="E19" t="str">
            <v>Eau Claire County</v>
          </cell>
          <cell r="BO19" t="str">
            <v>Management Entity</v>
          </cell>
        </row>
        <row r="20">
          <cell r="C20" t="str">
            <v>LA</v>
          </cell>
          <cell r="E20" t="str">
            <v>Florence County</v>
          </cell>
          <cell r="BO20" t="str">
            <v>Mortgage Banker</v>
          </cell>
        </row>
        <row r="21">
          <cell r="C21" t="str">
            <v>MA</v>
          </cell>
          <cell r="E21" t="str">
            <v>Fond du Lac County</v>
          </cell>
          <cell r="BO21" t="str">
            <v>Partnership</v>
          </cell>
        </row>
        <row r="22">
          <cell r="C22" t="str">
            <v>MD</v>
          </cell>
          <cell r="E22" t="str">
            <v>Forest County</v>
          </cell>
        </row>
        <row r="23">
          <cell r="C23" t="str">
            <v>ME</v>
          </cell>
          <cell r="E23" t="str">
            <v>Grant County</v>
          </cell>
        </row>
        <row r="24">
          <cell r="C24" t="str">
            <v>MI</v>
          </cell>
          <cell r="E24" t="str">
            <v>Green County</v>
          </cell>
        </row>
        <row r="25">
          <cell r="C25" t="str">
            <v>MN</v>
          </cell>
          <cell r="E25" t="str">
            <v>Green Lake County</v>
          </cell>
        </row>
        <row r="26">
          <cell r="C26" t="str">
            <v>MO</v>
          </cell>
          <cell r="E26" t="str">
            <v>Iowa County</v>
          </cell>
        </row>
        <row r="27">
          <cell r="C27" t="str">
            <v>MS</v>
          </cell>
          <cell r="E27" t="str">
            <v>Iron County</v>
          </cell>
        </row>
        <row r="28">
          <cell r="C28" t="str">
            <v>MT</v>
          </cell>
          <cell r="E28" t="str">
            <v>Jackson County</v>
          </cell>
        </row>
        <row r="29">
          <cell r="C29" t="str">
            <v>NC</v>
          </cell>
          <cell r="E29" t="str">
            <v>Jefferson County</v>
          </cell>
        </row>
        <row r="30">
          <cell r="C30" t="str">
            <v>ND</v>
          </cell>
          <cell r="E30" t="str">
            <v>Juneau County</v>
          </cell>
        </row>
        <row r="31">
          <cell r="C31" t="str">
            <v>NE</v>
          </cell>
          <cell r="E31" t="str">
            <v>Kenosha County</v>
          </cell>
        </row>
        <row r="32">
          <cell r="C32" t="str">
            <v>NH</v>
          </cell>
          <cell r="E32" t="str">
            <v>Kewaunee County</v>
          </cell>
        </row>
        <row r="33">
          <cell r="C33" t="str">
            <v>NJ</v>
          </cell>
          <cell r="E33" t="str">
            <v>La Crosse County</v>
          </cell>
        </row>
        <row r="34">
          <cell r="C34" t="str">
            <v>NM</v>
          </cell>
          <cell r="E34" t="str">
            <v>Lafayette County</v>
          </cell>
        </row>
        <row r="35">
          <cell r="C35" t="str">
            <v>NV</v>
          </cell>
          <cell r="E35" t="str">
            <v>Langlade County</v>
          </cell>
        </row>
        <row r="36">
          <cell r="C36" t="str">
            <v>NY</v>
          </cell>
          <cell r="E36" t="str">
            <v>Lincoln County</v>
          </cell>
        </row>
        <row r="37">
          <cell r="C37" t="str">
            <v>OH</v>
          </cell>
          <cell r="E37" t="str">
            <v>Manitowoc County</v>
          </cell>
        </row>
        <row r="38">
          <cell r="C38" t="str">
            <v>OK</v>
          </cell>
          <cell r="E38" t="str">
            <v>Marathon County</v>
          </cell>
        </row>
        <row r="39">
          <cell r="C39" t="str">
            <v>OR</v>
          </cell>
          <cell r="E39" t="str">
            <v>Marinette County</v>
          </cell>
        </row>
        <row r="40">
          <cell r="C40" t="str">
            <v>PA</v>
          </cell>
          <cell r="E40" t="str">
            <v>Marquette County</v>
          </cell>
        </row>
        <row r="41">
          <cell r="C41" t="str">
            <v>RI</v>
          </cell>
          <cell r="E41" t="str">
            <v>Menominee County</v>
          </cell>
        </row>
        <row r="42">
          <cell r="C42" t="str">
            <v>SC</v>
          </cell>
          <cell r="E42" t="str">
            <v>Milwaukee County</v>
          </cell>
        </row>
        <row r="43">
          <cell r="C43" t="str">
            <v>SD</v>
          </cell>
          <cell r="E43" t="str">
            <v>Monroe County</v>
          </cell>
        </row>
        <row r="44">
          <cell r="C44" t="str">
            <v>TN</v>
          </cell>
          <cell r="E44" t="str">
            <v>Oconto County</v>
          </cell>
        </row>
        <row r="45">
          <cell r="C45" t="str">
            <v>TX</v>
          </cell>
          <cell r="E45" t="str">
            <v>Oneida County</v>
          </cell>
        </row>
        <row r="46">
          <cell r="C46" t="str">
            <v>UT</v>
          </cell>
          <cell r="E46" t="str">
            <v>Outagamie County</v>
          </cell>
        </row>
        <row r="47">
          <cell r="C47" t="str">
            <v>VA</v>
          </cell>
          <cell r="E47" t="str">
            <v>Ozaukee County</v>
          </cell>
        </row>
        <row r="48">
          <cell r="C48" t="str">
            <v>VT</v>
          </cell>
          <cell r="E48" t="str">
            <v>Pepin County</v>
          </cell>
        </row>
        <row r="49">
          <cell r="C49" t="str">
            <v>WA</v>
          </cell>
          <cell r="E49" t="str">
            <v>Pierce County</v>
          </cell>
        </row>
        <row r="50">
          <cell r="C50" t="str">
            <v>WI</v>
          </cell>
          <cell r="E50" t="str">
            <v>Polk County</v>
          </cell>
        </row>
        <row r="51">
          <cell r="C51" t="str">
            <v>WV</v>
          </cell>
          <cell r="E51" t="str">
            <v>Portage County</v>
          </cell>
        </row>
        <row r="52">
          <cell r="C52" t="str">
            <v>WY</v>
          </cell>
          <cell r="E52" t="str">
            <v>Price County</v>
          </cell>
        </row>
        <row r="53">
          <cell r="E53" t="str">
            <v>Racine County</v>
          </cell>
        </row>
        <row r="54">
          <cell r="E54" t="str">
            <v>Richland County</v>
          </cell>
        </row>
        <row r="55">
          <cell r="E55" t="str">
            <v>Rock County</v>
          </cell>
        </row>
        <row r="56">
          <cell r="E56" t="str">
            <v>Rusk County</v>
          </cell>
        </row>
        <row r="57">
          <cell r="E57" t="str">
            <v>Sauk County</v>
          </cell>
        </row>
        <row r="58">
          <cell r="E58" t="str">
            <v>Sawyer County</v>
          </cell>
        </row>
        <row r="59">
          <cell r="E59" t="str">
            <v>Shawano County</v>
          </cell>
        </row>
        <row r="60">
          <cell r="E60" t="str">
            <v>Sheboygan County</v>
          </cell>
        </row>
        <row r="61">
          <cell r="E61" t="str">
            <v>St. Croix County</v>
          </cell>
        </row>
        <row r="62">
          <cell r="E62" t="str">
            <v>Taylor County</v>
          </cell>
        </row>
        <row r="63">
          <cell r="E63" t="str">
            <v>Trempealeau County</v>
          </cell>
        </row>
        <row r="64">
          <cell r="E64" t="str">
            <v>Vernon County</v>
          </cell>
        </row>
        <row r="65">
          <cell r="E65" t="str">
            <v>Vilas County</v>
          </cell>
        </row>
        <row r="66">
          <cell r="E66" t="str">
            <v>Walworth County</v>
          </cell>
        </row>
        <row r="67">
          <cell r="E67" t="str">
            <v>Washburn County</v>
          </cell>
        </row>
        <row r="68">
          <cell r="E68" t="str">
            <v>Washington County</v>
          </cell>
        </row>
        <row r="69">
          <cell r="E69" t="str">
            <v>Waukesha County</v>
          </cell>
        </row>
        <row r="70">
          <cell r="E70" t="str">
            <v>Waupaca County</v>
          </cell>
        </row>
        <row r="71">
          <cell r="E71" t="str">
            <v>Waushara County</v>
          </cell>
        </row>
        <row r="72">
          <cell r="E72" t="str">
            <v>Winnebago County</v>
          </cell>
        </row>
        <row r="73">
          <cell r="E73" t="str">
            <v>Wood County</v>
          </cell>
        </row>
      </sheetData>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osal Summary"/>
      <sheetName val="App Update"/>
      <sheetName val="Narratives"/>
      <sheetName val="Project Details"/>
      <sheetName val="Development Schedule"/>
      <sheetName val="Development Team"/>
      <sheetName val="Prolink"/>
      <sheetName val="Budget Sources"/>
      <sheetName val="Construction Cost SOV"/>
      <sheetName val="Budget Uses"/>
      <sheetName val="Sources &amp; Uses"/>
      <sheetName val="LIHTC Calc (site Entry)"/>
      <sheetName val="LIHTC Calc (summary)"/>
      <sheetName val="Multifamily Bonds"/>
      <sheetName val="Developer Fee"/>
      <sheetName val="Rents and Incomes"/>
      <sheetName val="Operating Budget"/>
      <sheetName val="OAHTC Calculation"/>
      <sheetName val="OAHTC_Amortization"/>
      <sheetName val="AWHTC Calc"/>
      <sheetName val="PSH Services Budget"/>
      <sheetName val="Commercial Operating Budget"/>
      <sheetName val="MWESB Engagement Strategy"/>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Scoring_LIFT Gap Wildfire Narr"/>
      <sheetName val="Scoring_PSH Quantitative"/>
      <sheetName val="Scoring_PSH Narrative"/>
      <sheetName val="Scoring_Sml Proj  Quantitative"/>
      <sheetName val="Scoring_Sml Proj Narrative"/>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SD_Dropdowns"/>
      <sheetName val="LIHTCIncomes 21"/>
      <sheetName val="LIHTCRents 21"/>
      <sheetName val="HOMERents_21"/>
      <sheetName val="HTF Rent Limits_21"/>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osal Summary"/>
      <sheetName val="App Update"/>
      <sheetName val="Narratives"/>
      <sheetName val="Project Details"/>
      <sheetName val="Development Schedule"/>
      <sheetName val="Development Team"/>
      <sheetName val="Prolink"/>
      <sheetName val="Budget Sources"/>
      <sheetName val="Construction Cost SOV"/>
      <sheetName val="Budget Uses"/>
      <sheetName val="Sources &amp; Uses"/>
      <sheetName val="LIHTC Calc (site Entry)"/>
      <sheetName val="LIHTC Calc (summary)"/>
      <sheetName val="Multifamily Bonds"/>
      <sheetName val="Developer Fee"/>
      <sheetName val="Rents and Incomes"/>
      <sheetName val="Operating Budget"/>
      <sheetName val="OAHTC Calculation"/>
      <sheetName val="OAHTC_Amortization"/>
      <sheetName val="AWHTC Calc"/>
      <sheetName val="PSH Services Budget"/>
      <sheetName val="Commercial Operating Budget"/>
      <sheetName val="MWESB Engagement Strategy"/>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Scoring_LIFT Gap Wildfire Narr"/>
      <sheetName val="Scoring_PSH Quantitative"/>
      <sheetName val="Scoring_PSH Narrative"/>
      <sheetName val="Scoring_Sml Proj  Quantitative"/>
      <sheetName val="Scoring_Sml Proj Narrative"/>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SD_Dropdowns"/>
      <sheetName val="LIHTCIncomes 21"/>
      <sheetName val="LIHTCRents 21"/>
      <sheetName val="HOMERents_21"/>
      <sheetName val="HTF Rent Limits_21"/>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osal Summary"/>
      <sheetName val="Narratives"/>
      <sheetName val="Project Details"/>
      <sheetName val="SD_Dropdowns"/>
      <sheetName val="Development Team"/>
      <sheetName val="MWESB Outreach"/>
      <sheetName val="Budget Sources"/>
      <sheetName val="Budget Uses"/>
      <sheetName val="Rents and Incomes"/>
      <sheetName val="Operating Budget"/>
      <sheetName val="Commercial Operating Budget"/>
      <sheetName val="LIHTC Calc (site Entry)"/>
      <sheetName val="LIHTC Calc (summary)"/>
      <sheetName val="Multifamily Bonds"/>
      <sheetName val="OAHTC Calculation"/>
      <sheetName val="OAHTC_Amortization"/>
      <sheetName val="Developer Fee"/>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Prolink"/>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LIHTCRents 20"/>
      <sheetName val="LIHTCIncomes 20"/>
      <sheetName val="HOMERents_19"/>
      <sheetName val="HTF Rent Limits_19"/>
      <sheetName val="ESRI_MAPINFO_SHEET"/>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1496-0DA9-4644-B7DF-93B35CCCC993}">
  <dimension ref="A1:CH771"/>
  <sheetViews>
    <sheetView tabSelected="1" topLeftCell="B1" workbookViewId="0">
      <selection activeCell="H21" sqref="H21"/>
    </sheetView>
  </sheetViews>
  <sheetFormatPr defaultColWidth="9.109375" defaultRowHeight="14.4" x14ac:dyDescent="0.3"/>
  <cols>
    <col min="1" max="1" width="69.5546875" hidden="1" customWidth="1"/>
    <col min="2" max="2" width="9.109375" style="3"/>
    <col min="3" max="3" width="47.109375" style="3" customWidth="1"/>
    <col min="4" max="4" width="23.5546875" style="3" bestFit="1" customWidth="1"/>
    <col min="5" max="5" width="20.44140625" style="3" customWidth="1"/>
    <col min="6" max="6" width="19.88671875" style="3" bestFit="1" customWidth="1"/>
    <col min="7" max="7" width="16.109375" style="3" bestFit="1" customWidth="1"/>
    <col min="8" max="8" width="24.109375" style="3" customWidth="1"/>
    <col min="9" max="36" width="18" style="3" customWidth="1"/>
    <col min="37" max="37" width="16.5546875" style="3" customWidth="1"/>
    <col min="38" max="40" width="0" style="3" hidden="1" customWidth="1"/>
    <col min="41" max="41" width="0" style="135" hidden="1" customWidth="1"/>
    <col min="42" max="45" width="0" style="3" hidden="1" customWidth="1"/>
    <col min="46" max="16384" width="9.109375" style="3"/>
  </cols>
  <sheetData>
    <row r="1" spans="1:86" x14ac:dyDescent="0.3">
      <c r="A1" s="1"/>
      <c r="B1" s="2"/>
      <c r="E1" s="2"/>
      <c r="F1" s="2"/>
      <c r="G1" s="2"/>
      <c r="H1" s="2"/>
      <c r="I1" s="2"/>
      <c r="J1" s="2"/>
      <c r="K1" s="2"/>
      <c r="L1" s="2"/>
      <c r="M1" s="2"/>
      <c r="N1" s="4"/>
      <c r="O1" s="4"/>
      <c r="P1" s="4"/>
      <c r="Q1" s="5"/>
      <c r="R1" s="5"/>
      <c r="S1" s="5"/>
      <c r="T1" s="5"/>
      <c r="U1" s="5"/>
      <c r="V1" s="5"/>
      <c r="W1" s="5"/>
      <c r="X1" s="5"/>
      <c r="Y1" s="5"/>
      <c r="Z1" s="5"/>
      <c r="AA1" s="5"/>
      <c r="AB1" s="5"/>
      <c r="AC1" s="5"/>
      <c r="AD1" s="5"/>
      <c r="AE1" s="5"/>
      <c r="AF1" s="5"/>
      <c r="AG1" s="5"/>
      <c r="AH1" s="5"/>
      <c r="AI1" s="5"/>
      <c r="AJ1" s="5"/>
      <c r="AK1" s="5"/>
      <c r="AL1" s="5"/>
      <c r="AM1" s="5"/>
      <c r="AN1" s="5"/>
      <c r="AO1" s="6"/>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row>
    <row r="2" spans="1:86" ht="28.8" x14ac:dyDescent="0.55000000000000004">
      <c r="A2" s="1"/>
      <c r="B2" s="2"/>
      <c r="C2" s="7" t="str">
        <f>'[1]1. Cover Sheet'!B2</f>
        <v>WHEDA 2023 Multifamily Application</v>
      </c>
      <c r="D2" s="8"/>
      <c r="E2" s="9" t="str">
        <f>'[1]1. Cover Sheet'!F2</f>
        <v>Version 23.01.19</v>
      </c>
      <c r="F2" s="2"/>
      <c r="G2" s="2"/>
      <c r="H2" s="2"/>
      <c r="I2" s="2"/>
      <c r="J2" s="2"/>
      <c r="K2" s="2"/>
      <c r="L2" s="2"/>
      <c r="M2" s="2"/>
      <c r="N2" s="4"/>
      <c r="O2" s="4"/>
      <c r="P2" s="4"/>
      <c r="Q2" s="5"/>
      <c r="R2" s="5"/>
      <c r="S2" s="5"/>
      <c r="T2" s="5"/>
      <c r="U2" s="5"/>
      <c r="V2" s="5"/>
      <c r="W2" s="5"/>
      <c r="X2" s="5"/>
      <c r="Y2" s="5"/>
      <c r="Z2" s="5"/>
      <c r="AA2" s="5"/>
      <c r="AB2" s="5"/>
      <c r="AC2" s="5"/>
      <c r="AD2" s="5"/>
      <c r="AE2" s="5"/>
      <c r="AF2" s="5"/>
      <c r="AG2" s="5"/>
      <c r="AH2" s="5"/>
      <c r="AI2" s="5"/>
      <c r="AJ2" s="5"/>
      <c r="AK2" s="5"/>
      <c r="AL2" s="5"/>
      <c r="AM2" s="5"/>
      <c r="AN2" s="5"/>
      <c r="AO2" s="6"/>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row>
    <row r="3" spans="1:86" ht="15.6" x14ac:dyDescent="0.3">
      <c r="A3" s="1"/>
      <c r="B3" s="2"/>
      <c r="C3" s="10" t="s">
        <v>0</v>
      </c>
      <c r="D3" s="8"/>
      <c r="E3" s="2"/>
      <c r="F3" s="2"/>
      <c r="G3" s="2"/>
      <c r="H3" s="2"/>
      <c r="I3" s="2"/>
      <c r="J3" s="2"/>
      <c r="K3" s="2"/>
      <c r="L3" s="2"/>
      <c r="M3" s="2"/>
      <c r="N3" s="4"/>
      <c r="O3" s="4"/>
      <c r="P3" s="4"/>
      <c r="Q3" s="5"/>
      <c r="R3" s="5"/>
      <c r="S3" s="5"/>
      <c r="T3" s="5"/>
      <c r="U3" s="5"/>
      <c r="V3" s="5"/>
      <c r="W3" s="5"/>
      <c r="X3" s="5"/>
      <c r="Y3" s="5"/>
      <c r="Z3" s="5"/>
      <c r="AA3" s="5"/>
      <c r="AB3" s="5"/>
      <c r="AC3" s="5"/>
      <c r="AD3" s="5"/>
      <c r="AE3" s="5"/>
      <c r="AF3" s="5"/>
      <c r="AG3" s="5"/>
      <c r="AH3" s="5"/>
      <c r="AI3" s="5"/>
      <c r="AJ3" s="5"/>
      <c r="AK3" s="5"/>
      <c r="AL3" s="5"/>
      <c r="AM3" s="5"/>
      <c r="AN3" s="5"/>
      <c r="AO3" s="6"/>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row>
    <row r="4" spans="1:86" ht="18" x14ac:dyDescent="0.35">
      <c r="A4" s="11" t="s">
        <v>1</v>
      </c>
      <c r="B4" s="12"/>
      <c r="C4" s="13" t="s">
        <v>2</v>
      </c>
      <c r="D4" s="14"/>
      <c r="E4" s="14"/>
      <c r="F4" s="14"/>
      <c r="G4" s="14"/>
      <c r="H4" s="14"/>
      <c r="I4" s="14"/>
      <c r="J4" s="14"/>
      <c r="K4" s="14"/>
      <c r="L4" s="14"/>
      <c r="M4" s="14"/>
      <c r="N4" s="15"/>
      <c r="O4" s="15"/>
      <c r="P4" s="15"/>
      <c r="Q4" s="16"/>
      <c r="R4" s="16"/>
      <c r="S4" s="16"/>
      <c r="T4" s="16"/>
      <c r="U4" s="16"/>
      <c r="V4" s="16"/>
      <c r="W4" s="16"/>
      <c r="X4" s="16"/>
      <c r="Y4" s="16"/>
      <c r="Z4" s="16"/>
      <c r="AA4" s="16"/>
      <c r="AB4" s="16"/>
      <c r="AC4" s="16"/>
      <c r="AD4" s="16"/>
      <c r="AE4" s="16"/>
      <c r="AF4" s="16"/>
      <c r="AG4" s="16"/>
      <c r="AH4" s="16"/>
      <c r="AI4" s="16"/>
      <c r="AJ4" s="16"/>
      <c r="AK4" s="16"/>
      <c r="AL4" s="5"/>
      <c r="AM4" s="5"/>
      <c r="AN4" s="5"/>
      <c r="AO4" s="6"/>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row>
    <row r="5" spans="1:86" ht="15.6" x14ac:dyDescent="0.3">
      <c r="A5" s="17" t="str">
        <f>HYPERLINK("#WHEDA_Commercial_Loan", WHEDA_Commercial_Loan)</f>
        <v>Cover Sheet</v>
      </c>
      <c r="B5" s="18"/>
      <c r="C5" s="19" t="str">
        <f>'[1]4. Project Name &amp; Location'!C5</f>
        <v>Date of Application</v>
      </c>
      <c r="D5" s="20" t="str">
        <f>IF(ISBLANK(DateOfApplication),"",DateOfApplication)</f>
        <v/>
      </c>
      <c r="E5" s="21" t="str">
        <f>'[1]4. Project Name &amp; Location'!E5</f>
        <v>Tax Credit #</v>
      </c>
      <c r="F5" s="22" t="str">
        <f>IF(ISBLANK(WHEDA_Project_Number),"",WHEDA_Project_Number)</f>
        <v/>
      </c>
      <c r="G5" s="23"/>
      <c r="H5" s="19" t="str">
        <f>'[1]4. Project Name &amp; Location'!H5</f>
        <v>Tax Credit Stage</v>
      </c>
      <c r="I5" s="22" t="str">
        <f>IF(ISBLANK(Deal_Stage),"",Deal_Stage)</f>
        <v/>
      </c>
      <c r="J5" s="19" t="str">
        <f>'[1]4. Project Name &amp; Location'!J5</f>
        <v>Tax Credit Status</v>
      </c>
      <c r="K5" s="22" t="str">
        <f>IF(ISBLANK(Deal_Status),"",Deal_Status)</f>
        <v/>
      </c>
      <c r="L5" s="19" t="str">
        <f>'[1]4. Project Name &amp; Location'!L5</f>
        <v>Development Deal #</v>
      </c>
      <c r="M5" s="22" t="str">
        <f>IF(ISBLANK([1]ProLink!F7),"",[1]ProLink!F7)</f>
        <v/>
      </c>
      <c r="N5" s="19" t="str">
        <f>'[1]4. Project Name &amp; Location'!N5</f>
        <v>Development Deal Status</v>
      </c>
      <c r="O5" s="22" t="str">
        <f>IF(ISBLANK([1]ProLink!F8),"",[1]ProLink!F8)</f>
        <v/>
      </c>
      <c r="P5" s="5"/>
      <c r="Q5" s="5"/>
      <c r="R5" s="5"/>
      <c r="S5" s="5"/>
      <c r="T5" s="5"/>
      <c r="U5" s="5"/>
      <c r="V5" s="5"/>
      <c r="W5" s="5"/>
      <c r="X5" s="5"/>
      <c r="Y5" s="5"/>
      <c r="Z5" s="5"/>
      <c r="AA5" s="5"/>
      <c r="AB5" s="5"/>
      <c r="AC5" s="5"/>
      <c r="AD5" s="5"/>
      <c r="AE5" s="5"/>
      <c r="AF5" s="5"/>
      <c r="AG5" s="5"/>
      <c r="AH5" s="5"/>
      <c r="AI5" s="5"/>
      <c r="AJ5" s="5"/>
      <c r="AK5" s="5"/>
      <c r="AL5" s="5"/>
      <c r="AM5" s="5"/>
      <c r="AN5" s="5"/>
      <c r="AO5" s="6"/>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row>
    <row r="6" spans="1:86" ht="15.6" x14ac:dyDescent="0.3">
      <c r="A6" s="17" t="str">
        <f>HYPERLINK("#Project_Name_and_Location", Project_Name_and_Location)</f>
        <v>Project Name and Location</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6"/>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row>
    <row r="7" spans="1:86" ht="18" x14ac:dyDescent="0.35">
      <c r="A7" s="17" t="str">
        <f>HYPERLINK("#Project_Description", Project_Description)</f>
        <v>Project Description</v>
      </c>
      <c r="B7" s="24" t="s">
        <v>3</v>
      </c>
      <c r="C7" s="2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26"/>
      <c r="AL7" s="5"/>
      <c r="AM7" s="5"/>
      <c r="AN7" s="5"/>
      <c r="AO7" s="6"/>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ht="15.6" x14ac:dyDescent="0.3">
      <c r="A8" s="17" t="str">
        <f>HYPERLINK("#Applicant_Information", Applicant_Information)</f>
        <v>Applicant Information</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5"/>
      <c r="AM8" s="5"/>
      <c r="AN8" s="5"/>
      <c r="AO8" s="6"/>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row>
    <row r="9" spans="1:86" ht="30.75" customHeight="1" x14ac:dyDescent="0.3">
      <c r="A9" s="17" t="str">
        <f>HYPERLINK("#Site_Description", Site_Description)</f>
        <v>Site Description</v>
      </c>
      <c r="B9" s="27"/>
      <c r="C9" s="27"/>
      <c r="D9" s="27"/>
      <c r="E9" s="27"/>
      <c r="F9" s="27"/>
      <c r="G9" s="28" t="s">
        <v>4</v>
      </c>
      <c r="H9" s="28" t="s">
        <v>5</v>
      </c>
      <c r="I9" s="28" t="s">
        <v>6</v>
      </c>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5"/>
      <c r="AM9" s="5"/>
      <c r="AN9" s="5"/>
      <c r="AO9" s="6"/>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row>
    <row r="10" spans="1:86" x14ac:dyDescent="0.3">
      <c r="A10" s="29" t="str">
        <f>HYPERLINK("#Site_Contol", Site_Contol)</f>
        <v>Site Control</v>
      </c>
      <c r="B10" s="27"/>
      <c r="C10" s="27"/>
      <c r="D10" s="27"/>
      <c r="E10" s="27"/>
      <c r="F10" s="27"/>
      <c r="G10" s="136"/>
      <c r="H10" s="137"/>
      <c r="I10" s="13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5"/>
      <c r="AM10" s="5"/>
      <c r="AN10" s="5"/>
      <c r="AO10" s="6"/>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row>
    <row r="11" spans="1:86" x14ac:dyDescent="0.3">
      <c r="A11" s="29" t="str">
        <f>HYPERLINK("#Zoning", Zoning)</f>
        <v>Zoning</v>
      </c>
      <c r="B11" s="27"/>
      <c r="C11" s="30"/>
      <c r="D11" s="30"/>
      <c r="E11" s="30"/>
      <c r="F11" s="30" t="s">
        <v>7</v>
      </c>
      <c r="G11" s="30">
        <v>1</v>
      </c>
      <c r="H11" s="30">
        <v>2</v>
      </c>
      <c r="I11" s="30">
        <v>3</v>
      </c>
      <c r="J11" s="30">
        <v>4</v>
      </c>
      <c r="K11" s="30">
        <v>5</v>
      </c>
      <c r="L11" s="30">
        <v>6</v>
      </c>
      <c r="M11" s="30">
        <v>7</v>
      </c>
      <c r="N11" s="30">
        <v>8</v>
      </c>
      <c r="O11" s="30">
        <v>9</v>
      </c>
      <c r="P11" s="30">
        <v>10</v>
      </c>
      <c r="Q11" s="30">
        <v>11</v>
      </c>
      <c r="R11" s="30">
        <v>12</v>
      </c>
      <c r="S11" s="30">
        <v>13</v>
      </c>
      <c r="T11" s="30">
        <v>14</v>
      </c>
      <c r="U11" s="30">
        <v>15</v>
      </c>
      <c r="V11" s="30">
        <v>16</v>
      </c>
      <c r="W11" s="30">
        <v>17</v>
      </c>
      <c r="X11" s="30">
        <v>18</v>
      </c>
      <c r="Y11" s="30">
        <v>19</v>
      </c>
      <c r="Z11" s="30">
        <v>20</v>
      </c>
      <c r="AA11" s="30">
        <v>21</v>
      </c>
      <c r="AB11" s="30">
        <v>22</v>
      </c>
      <c r="AC11" s="30">
        <v>23</v>
      </c>
      <c r="AD11" s="30">
        <v>24</v>
      </c>
      <c r="AE11" s="30">
        <v>25</v>
      </c>
      <c r="AF11" s="30">
        <v>26</v>
      </c>
      <c r="AG11" s="30">
        <v>27</v>
      </c>
      <c r="AH11" s="30">
        <v>28</v>
      </c>
      <c r="AI11" s="30">
        <v>29</v>
      </c>
      <c r="AJ11" s="30">
        <v>30</v>
      </c>
      <c r="AK11" s="27"/>
      <c r="AL11" s="5"/>
      <c r="AM11" s="5"/>
      <c r="AN11" s="5"/>
      <c r="AO11" s="6"/>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row>
    <row r="12" spans="1:86" x14ac:dyDescent="0.3">
      <c r="A12" s="29" t="str">
        <f>HYPERLINK("#Ownership_Entity", Ownership_Entity)</f>
        <v>Ownership Entity</v>
      </c>
      <c r="B12" s="27"/>
      <c r="C12" s="30"/>
      <c r="D12" s="30"/>
      <c r="E12" s="30"/>
      <c r="F12" s="30" t="s">
        <v>8</v>
      </c>
      <c r="G12" s="30" t="s">
        <v>9</v>
      </c>
      <c r="H12" s="30" t="s">
        <v>10</v>
      </c>
      <c r="I12" s="30" t="s">
        <v>11</v>
      </c>
      <c r="J12" s="30" t="s">
        <v>12</v>
      </c>
      <c r="K12" s="30" t="s">
        <v>13</v>
      </c>
      <c r="L12" s="30" t="s">
        <v>14</v>
      </c>
      <c r="M12" s="30" t="s">
        <v>15</v>
      </c>
      <c r="N12" s="30" t="s">
        <v>16</v>
      </c>
      <c r="O12" s="30" t="s">
        <v>17</v>
      </c>
      <c r="P12" s="30" t="s">
        <v>18</v>
      </c>
      <c r="Q12" s="30" t="s">
        <v>19</v>
      </c>
      <c r="R12" s="30" t="s">
        <v>20</v>
      </c>
      <c r="S12" s="30" t="s">
        <v>21</v>
      </c>
      <c r="T12" s="30" t="s">
        <v>22</v>
      </c>
      <c r="U12" s="30" t="s">
        <v>23</v>
      </c>
      <c r="V12" s="30" t="s">
        <v>24</v>
      </c>
      <c r="W12" s="30" t="s">
        <v>25</v>
      </c>
      <c r="X12" s="30" t="s">
        <v>26</v>
      </c>
      <c r="Y12" s="30" t="s">
        <v>27</v>
      </c>
      <c r="Z12" s="30" t="s">
        <v>28</v>
      </c>
      <c r="AA12" s="30" t="s">
        <v>29</v>
      </c>
      <c r="AB12" s="30" t="s">
        <v>30</v>
      </c>
      <c r="AC12" s="30" t="s">
        <v>31</v>
      </c>
      <c r="AD12" s="30" t="s">
        <v>32</v>
      </c>
      <c r="AE12" s="30" t="s">
        <v>33</v>
      </c>
      <c r="AF12" s="30" t="s">
        <v>34</v>
      </c>
      <c r="AG12" s="30" t="s">
        <v>34</v>
      </c>
      <c r="AH12" s="30" t="s">
        <v>35</v>
      </c>
      <c r="AI12" s="30" t="s">
        <v>36</v>
      </c>
      <c r="AJ12" s="30" t="s">
        <v>37</v>
      </c>
      <c r="AK12" s="27"/>
      <c r="AL12" s="5"/>
      <c r="AM12" s="5"/>
      <c r="AN12" s="5"/>
      <c r="AO12" s="6"/>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row>
    <row r="13" spans="1:86" x14ac:dyDescent="0.3">
      <c r="A13" s="29" t="str">
        <f>HYPERLINK("#Project_Team", Project_Team)</f>
        <v>Project Team</v>
      </c>
      <c r="B13" s="27"/>
      <c r="C13" s="30"/>
      <c r="D13" s="30"/>
      <c r="E13" s="30"/>
      <c r="F13" s="30" t="s">
        <v>38</v>
      </c>
      <c r="G13" s="31">
        <f>+EDATE($G$10,G11)</f>
        <v>31</v>
      </c>
      <c r="H13" s="31">
        <f t="shared" ref="H13:AJ13" si="0">+EDATE($G$10,H11)</f>
        <v>60</v>
      </c>
      <c r="I13" s="31">
        <f t="shared" si="0"/>
        <v>91</v>
      </c>
      <c r="J13" s="31">
        <f t="shared" si="0"/>
        <v>121</v>
      </c>
      <c r="K13" s="31">
        <f t="shared" si="0"/>
        <v>152</v>
      </c>
      <c r="L13" s="31">
        <f t="shared" si="0"/>
        <v>182</v>
      </c>
      <c r="M13" s="31">
        <f t="shared" si="0"/>
        <v>213</v>
      </c>
      <c r="N13" s="31">
        <f t="shared" si="0"/>
        <v>244</v>
      </c>
      <c r="O13" s="31">
        <f t="shared" si="0"/>
        <v>274</v>
      </c>
      <c r="P13" s="31">
        <f t="shared" si="0"/>
        <v>305</v>
      </c>
      <c r="Q13" s="31">
        <f t="shared" si="0"/>
        <v>335</v>
      </c>
      <c r="R13" s="31">
        <f t="shared" si="0"/>
        <v>366</v>
      </c>
      <c r="S13" s="31">
        <f t="shared" si="0"/>
        <v>397</v>
      </c>
      <c r="T13" s="31">
        <f t="shared" si="0"/>
        <v>425</v>
      </c>
      <c r="U13" s="31">
        <f t="shared" si="0"/>
        <v>456</v>
      </c>
      <c r="V13" s="31">
        <f t="shared" si="0"/>
        <v>486</v>
      </c>
      <c r="W13" s="31">
        <f t="shared" si="0"/>
        <v>517</v>
      </c>
      <c r="X13" s="31">
        <f t="shared" si="0"/>
        <v>547</v>
      </c>
      <c r="Y13" s="31">
        <f t="shared" si="0"/>
        <v>578</v>
      </c>
      <c r="Z13" s="31">
        <f t="shared" si="0"/>
        <v>609</v>
      </c>
      <c r="AA13" s="31">
        <f t="shared" si="0"/>
        <v>639</v>
      </c>
      <c r="AB13" s="31">
        <f t="shared" si="0"/>
        <v>670</v>
      </c>
      <c r="AC13" s="31">
        <f t="shared" si="0"/>
        <v>700</v>
      </c>
      <c r="AD13" s="31">
        <f t="shared" si="0"/>
        <v>731</v>
      </c>
      <c r="AE13" s="31">
        <f t="shared" si="0"/>
        <v>762</v>
      </c>
      <c r="AF13" s="31">
        <f t="shared" si="0"/>
        <v>790</v>
      </c>
      <c r="AG13" s="31">
        <f t="shared" si="0"/>
        <v>821</v>
      </c>
      <c r="AH13" s="31">
        <f t="shared" si="0"/>
        <v>851</v>
      </c>
      <c r="AI13" s="31">
        <f t="shared" si="0"/>
        <v>882</v>
      </c>
      <c r="AJ13" s="31">
        <f t="shared" si="0"/>
        <v>912</v>
      </c>
      <c r="AK13" s="27"/>
      <c r="AL13" s="5"/>
      <c r="AM13" s="5"/>
      <c r="AN13" s="5"/>
      <c r="AO13" s="6"/>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row>
    <row r="14" spans="1:86" x14ac:dyDescent="0.3">
      <c r="A14" s="29" t="str">
        <f>HYPERLINK("#Project_and_Unit_Amenities", Project_and_Unit_Amenities)</f>
        <v>Project and Unit Amenities</v>
      </c>
      <c r="B14" s="27"/>
      <c r="C14" s="32"/>
      <c r="D14" s="32"/>
      <c r="E14" s="158" t="s">
        <v>39</v>
      </c>
      <c r="F14" s="158"/>
      <c r="G14" s="34">
        <f>+IFERROR(G11/H10,0)</f>
        <v>0</v>
      </c>
      <c r="H14" s="34">
        <f>+G14</f>
        <v>0</v>
      </c>
      <c r="I14" s="34">
        <f>+IF(I11&lt;=$H$10,H14,0)</f>
        <v>0</v>
      </c>
      <c r="J14" s="34">
        <f t="shared" ref="J14:AJ14" si="1">+IF(J11&lt;=$H$10,I14,0)</f>
        <v>0</v>
      </c>
      <c r="K14" s="34">
        <f t="shared" si="1"/>
        <v>0</v>
      </c>
      <c r="L14" s="34">
        <f t="shared" si="1"/>
        <v>0</v>
      </c>
      <c r="M14" s="34">
        <f t="shared" si="1"/>
        <v>0</v>
      </c>
      <c r="N14" s="34">
        <f t="shared" si="1"/>
        <v>0</v>
      </c>
      <c r="O14" s="34">
        <f t="shared" si="1"/>
        <v>0</v>
      </c>
      <c r="P14" s="34">
        <f t="shared" si="1"/>
        <v>0</v>
      </c>
      <c r="Q14" s="34">
        <f t="shared" si="1"/>
        <v>0</v>
      </c>
      <c r="R14" s="34">
        <f t="shared" si="1"/>
        <v>0</v>
      </c>
      <c r="S14" s="34">
        <f t="shared" si="1"/>
        <v>0</v>
      </c>
      <c r="T14" s="34">
        <f t="shared" si="1"/>
        <v>0</v>
      </c>
      <c r="U14" s="34">
        <f t="shared" si="1"/>
        <v>0</v>
      </c>
      <c r="V14" s="34">
        <f t="shared" si="1"/>
        <v>0</v>
      </c>
      <c r="W14" s="34">
        <f t="shared" si="1"/>
        <v>0</v>
      </c>
      <c r="X14" s="34">
        <f t="shared" si="1"/>
        <v>0</v>
      </c>
      <c r="Y14" s="34">
        <f t="shared" si="1"/>
        <v>0</v>
      </c>
      <c r="Z14" s="34">
        <f t="shared" si="1"/>
        <v>0</v>
      </c>
      <c r="AA14" s="34">
        <f t="shared" si="1"/>
        <v>0</v>
      </c>
      <c r="AB14" s="34">
        <f t="shared" si="1"/>
        <v>0</v>
      </c>
      <c r="AC14" s="34">
        <f t="shared" si="1"/>
        <v>0</v>
      </c>
      <c r="AD14" s="34">
        <f t="shared" si="1"/>
        <v>0</v>
      </c>
      <c r="AE14" s="34">
        <f t="shared" si="1"/>
        <v>0</v>
      </c>
      <c r="AF14" s="34">
        <f t="shared" si="1"/>
        <v>0</v>
      </c>
      <c r="AG14" s="34">
        <f t="shared" si="1"/>
        <v>0</v>
      </c>
      <c r="AH14" s="34">
        <f t="shared" si="1"/>
        <v>0</v>
      </c>
      <c r="AI14" s="34">
        <f t="shared" si="1"/>
        <v>0</v>
      </c>
      <c r="AJ14" s="34">
        <f t="shared" si="1"/>
        <v>0</v>
      </c>
      <c r="AK14" s="27"/>
      <c r="AL14" s="5"/>
      <c r="AM14" s="5"/>
      <c r="AN14" s="5"/>
      <c r="AO14" s="6"/>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row>
    <row r="15" spans="1:86" x14ac:dyDescent="0.3">
      <c r="A15" s="29" t="str">
        <f>HYPERLINK("#Unit_Mix", Unit_Mix)</f>
        <v>Unit Mix</v>
      </c>
      <c r="B15" s="27"/>
      <c r="C15" s="32"/>
      <c r="D15" s="32"/>
      <c r="E15" s="158" t="s">
        <v>40</v>
      </c>
      <c r="F15" s="158"/>
      <c r="G15" s="35">
        <f>G14</f>
        <v>0</v>
      </c>
      <c r="H15" s="35">
        <f t="shared" ref="H15:AJ15" si="2">+G15+H14</f>
        <v>0</v>
      </c>
      <c r="I15" s="35">
        <f t="shared" si="2"/>
        <v>0</v>
      </c>
      <c r="J15" s="35">
        <f t="shared" si="2"/>
        <v>0</v>
      </c>
      <c r="K15" s="35">
        <f t="shared" si="2"/>
        <v>0</v>
      </c>
      <c r="L15" s="35">
        <f t="shared" si="2"/>
        <v>0</v>
      </c>
      <c r="M15" s="35">
        <f t="shared" si="2"/>
        <v>0</v>
      </c>
      <c r="N15" s="35">
        <f t="shared" si="2"/>
        <v>0</v>
      </c>
      <c r="O15" s="35">
        <f t="shared" si="2"/>
        <v>0</v>
      </c>
      <c r="P15" s="35">
        <f t="shared" si="2"/>
        <v>0</v>
      </c>
      <c r="Q15" s="35">
        <f t="shared" si="2"/>
        <v>0</v>
      </c>
      <c r="R15" s="35">
        <f t="shared" si="2"/>
        <v>0</v>
      </c>
      <c r="S15" s="35">
        <f t="shared" si="2"/>
        <v>0</v>
      </c>
      <c r="T15" s="35">
        <f t="shared" si="2"/>
        <v>0</v>
      </c>
      <c r="U15" s="35">
        <f t="shared" si="2"/>
        <v>0</v>
      </c>
      <c r="V15" s="35">
        <f t="shared" si="2"/>
        <v>0</v>
      </c>
      <c r="W15" s="35">
        <f t="shared" si="2"/>
        <v>0</v>
      </c>
      <c r="X15" s="35">
        <f t="shared" si="2"/>
        <v>0</v>
      </c>
      <c r="Y15" s="35">
        <f t="shared" si="2"/>
        <v>0</v>
      </c>
      <c r="Z15" s="35">
        <f t="shared" si="2"/>
        <v>0</v>
      </c>
      <c r="AA15" s="35">
        <f t="shared" si="2"/>
        <v>0</v>
      </c>
      <c r="AB15" s="35">
        <f t="shared" si="2"/>
        <v>0</v>
      </c>
      <c r="AC15" s="35">
        <f t="shared" si="2"/>
        <v>0</v>
      </c>
      <c r="AD15" s="35">
        <f t="shared" si="2"/>
        <v>0</v>
      </c>
      <c r="AE15" s="35">
        <f t="shared" si="2"/>
        <v>0</v>
      </c>
      <c r="AF15" s="35">
        <f t="shared" si="2"/>
        <v>0</v>
      </c>
      <c r="AG15" s="35">
        <f t="shared" si="2"/>
        <v>0</v>
      </c>
      <c r="AH15" s="35">
        <f t="shared" si="2"/>
        <v>0</v>
      </c>
      <c r="AI15" s="35">
        <f t="shared" si="2"/>
        <v>0</v>
      </c>
      <c r="AJ15" s="35">
        <f t="shared" si="2"/>
        <v>0</v>
      </c>
      <c r="AK15" s="27"/>
      <c r="AL15" s="5"/>
      <c r="AM15" s="5"/>
      <c r="AN15" s="5"/>
      <c r="AO15" s="6"/>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row>
    <row r="16" spans="1:86" x14ac:dyDescent="0.3">
      <c r="A16" s="29" t="str">
        <f>HYPERLINK("#Funding_Sources", Funding_Sources)</f>
        <v>Funding Sources</v>
      </c>
      <c r="B16" s="27"/>
      <c r="C16" s="32"/>
      <c r="D16" s="32"/>
      <c r="E16" s="32"/>
      <c r="F16" s="32"/>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2"/>
      <c r="AH16" s="32"/>
      <c r="AI16" s="32"/>
      <c r="AJ16" s="32"/>
      <c r="AK16" s="27"/>
      <c r="AL16" s="5"/>
      <c r="AM16" s="5"/>
      <c r="AN16" s="5"/>
      <c r="AO16" s="6"/>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row>
    <row r="17" spans="1:86" x14ac:dyDescent="0.3">
      <c r="A17" s="29" t="str">
        <f>HYPERLINK("#Project_Costs_and_Credit_Calculation", Project_Costs_and_Credit_Calculation)</f>
        <v>Project Costs</v>
      </c>
      <c r="B17" s="27"/>
      <c r="C17" s="28"/>
      <c r="D17" s="28"/>
      <c r="E17" s="28" t="s">
        <v>41</v>
      </c>
      <c r="F17" s="28" t="s">
        <v>42</v>
      </c>
      <c r="G17" s="28" t="str">
        <f>G12</f>
        <v>Draw #1</v>
      </c>
      <c r="H17" s="28" t="str">
        <f t="shared" ref="H17:AJ17" si="3">H12</f>
        <v>Draw #2</v>
      </c>
      <c r="I17" s="28" t="str">
        <f t="shared" si="3"/>
        <v>Draw #3</v>
      </c>
      <c r="J17" s="28" t="str">
        <f t="shared" si="3"/>
        <v>Draw #4</v>
      </c>
      <c r="K17" s="28" t="str">
        <f t="shared" si="3"/>
        <v>Draw #5</v>
      </c>
      <c r="L17" s="28" t="str">
        <f t="shared" si="3"/>
        <v>Draw #6</v>
      </c>
      <c r="M17" s="28" t="str">
        <f t="shared" si="3"/>
        <v>Draw #7</v>
      </c>
      <c r="N17" s="28" t="str">
        <f t="shared" si="3"/>
        <v>Draw #8</v>
      </c>
      <c r="O17" s="28" t="str">
        <f t="shared" si="3"/>
        <v>Draw #9</v>
      </c>
      <c r="P17" s="28" t="str">
        <f t="shared" si="3"/>
        <v>Draw #10</v>
      </c>
      <c r="Q17" s="28" t="str">
        <f t="shared" si="3"/>
        <v>Draw #11</v>
      </c>
      <c r="R17" s="28" t="str">
        <f t="shared" si="3"/>
        <v>Draw #12</v>
      </c>
      <c r="S17" s="28" t="str">
        <f t="shared" si="3"/>
        <v>Draw #13</v>
      </c>
      <c r="T17" s="28" t="str">
        <f t="shared" si="3"/>
        <v>Draw #14</v>
      </c>
      <c r="U17" s="28" t="str">
        <f t="shared" si="3"/>
        <v>Draw #15</v>
      </c>
      <c r="V17" s="28" t="str">
        <f t="shared" si="3"/>
        <v>Draw #16</v>
      </c>
      <c r="W17" s="28" t="str">
        <f t="shared" si="3"/>
        <v>Draw #17</v>
      </c>
      <c r="X17" s="28" t="str">
        <f t="shared" si="3"/>
        <v>Draw #18</v>
      </c>
      <c r="Y17" s="28" t="str">
        <f t="shared" si="3"/>
        <v>Draw $19</v>
      </c>
      <c r="Z17" s="28" t="str">
        <f t="shared" si="3"/>
        <v>Draw #20</v>
      </c>
      <c r="AA17" s="28" t="str">
        <f t="shared" si="3"/>
        <v>Draw #21</v>
      </c>
      <c r="AB17" s="28" t="str">
        <f t="shared" si="3"/>
        <v>Draw #22</v>
      </c>
      <c r="AC17" s="28" t="str">
        <f t="shared" si="3"/>
        <v>Draw #23</v>
      </c>
      <c r="AD17" s="28" t="str">
        <f t="shared" si="3"/>
        <v>Draw #24</v>
      </c>
      <c r="AE17" s="28" t="str">
        <f t="shared" si="3"/>
        <v>Draw #25</v>
      </c>
      <c r="AF17" s="28" t="str">
        <f t="shared" si="3"/>
        <v>Draw #26</v>
      </c>
      <c r="AG17" s="28" t="str">
        <f t="shared" si="3"/>
        <v>Draw #26</v>
      </c>
      <c r="AH17" s="28" t="str">
        <f t="shared" si="3"/>
        <v>Draw #28</v>
      </c>
      <c r="AI17" s="28" t="str">
        <f t="shared" si="3"/>
        <v>Draw #29</v>
      </c>
      <c r="AJ17" s="28" t="str">
        <f t="shared" si="3"/>
        <v>Draw #30</v>
      </c>
      <c r="AK17" s="27"/>
      <c r="AL17" s="5"/>
      <c r="AM17" s="5"/>
      <c r="AN17" s="5"/>
      <c r="AO17" s="6"/>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row>
    <row r="18" spans="1:86" x14ac:dyDescent="0.3">
      <c r="A18" s="29" t="str">
        <f>HYPERLINK("#Projected_Operating_Costs", Projected_Operating_Costs)</f>
        <v>Projected Operating Costs</v>
      </c>
      <c r="B18" s="27"/>
      <c r="C18" s="37"/>
      <c r="D18" s="37"/>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27"/>
      <c r="AL18" s="5"/>
      <c r="AM18" s="5"/>
      <c r="AN18" s="5"/>
      <c r="AO18" s="6"/>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row>
    <row r="19" spans="1:86" ht="15.6" x14ac:dyDescent="0.3">
      <c r="A19" s="29" t="str">
        <f>HYPERLINK("#Project_Cash_Flow", Project_Cash_Flow)</f>
        <v>Projected Cash Flow</v>
      </c>
      <c r="B19" s="27"/>
      <c r="C19" s="39" t="s">
        <v>43</v>
      </c>
      <c r="D19" s="39"/>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27"/>
      <c r="AL19" s="5"/>
      <c r="AM19" s="5"/>
      <c r="AN19" s="5"/>
      <c r="AO19" s="6"/>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row>
    <row r="20" spans="1:86" x14ac:dyDescent="0.3">
      <c r="A20" s="29" t="str">
        <f>HYPERLINK("#Financial_Feasibility", Financial_Feasibility)</f>
        <v>Financial Feasibility</v>
      </c>
      <c r="B20" s="27"/>
      <c r="C20" s="41" t="str" cm="1">
        <f t="array" ref="C20:D20">'[1]16. Project Costs'!C16:D16</f>
        <v>Land</v>
      </c>
      <c r="D20" s="42">
        <v>0</v>
      </c>
      <c r="E20" s="149">
        <v>0</v>
      </c>
      <c r="F20" s="43">
        <f>+E20-SUM(G20:AJ20)</f>
        <v>0</v>
      </c>
      <c r="G20" s="44">
        <f>+E20</f>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0</v>
      </c>
      <c r="Y20" s="44">
        <v>0</v>
      </c>
      <c r="Z20" s="44">
        <v>0</v>
      </c>
      <c r="AA20" s="44">
        <v>0</v>
      </c>
      <c r="AB20" s="44">
        <v>0</v>
      </c>
      <c r="AC20" s="44">
        <v>0</v>
      </c>
      <c r="AD20" s="44">
        <v>0</v>
      </c>
      <c r="AE20" s="44">
        <v>0</v>
      </c>
      <c r="AF20" s="44">
        <v>0</v>
      </c>
      <c r="AG20" s="44">
        <v>0</v>
      </c>
      <c r="AH20" s="44">
        <v>0</v>
      </c>
      <c r="AI20" s="44">
        <v>0</v>
      </c>
      <c r="AJ20" s="44">
        <v>0</v>
      </c>
      <c r="AK20" s="27"/>
      <c r="AL20" s="5"/>
      <c r="AM20" s="5"/>
      <c r="AN20" s="5"/>
      <c r="AO20" s="6"/>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row>
    <row r="21" spans="1:86" x14ac:dyDescent="0.3">
      <c r="A21" s="29" t="str">
        <f>HYPERLINK("#Replacement_Reserves", Replacement_Reserves)</f>
        <v>Replacement Reserves</v>
      </c>
      <c r="B21" s="27"/>
      <c r="C21" s="41" t="str" cm="1">
        <f t="array" ref="C21:D21">'[1]16. Project Costs'!C17:D17</f>
        <v>Purchase of Buildings</v>
      </c>
      <c r="D21" s="42">
        <v>0</v>
      </c>
      <c r="E21" s="149">
        <v>0</v>
      </c>
      <c r="F21" s="43">
        <f>+E21-SUM(G21:AJ21)</f>
        <v>0</v>
      </c>
      <c r="G21" s="44">
        <f>+E21</f>
        <v>0</v>
      </c>
      <c r="H21" s="44">
        <v>0</v>
      </c>
      <c r="I21" s="44">
        <v>0</v>
      </c>
      <c r="J21" s="44">
        <v>0</v>
      </c>
      <c r="K21" s="44">
        <v>0</v>
      </c>
      <c r="L21" s="44">
        <v>0</v>
      </c>
      <c r="M21" s="44">
        <v>0</v>
      </c>
      <c r="N21" s="44">
        <v>0</v>
      </c>
      <c r="O21" s="44">
        <v>0</v>
      </c>
      <c r="P21" s="44">
        <v>0</v>
      </c>
      <c r="Q21" s="44">
        <v>0</v>
      </c>
      <c r="R21" s="44">
        <v>0</v>
      </c>
      <c r="S21" s="44">
        <v>0</v>
      </c>
      <c r="T21" s="44">
        <v>0</v>
      </c>
      <c r="U21" s="44">
        <v>0</v>
      </c>
      <c r="V21" s="44">
        <v>0</v>
      </c>
      <c r="W21" s="44">
        <v>0</v>
      </c>
      <c r="X21" s="44">
        <v>0</v>
      </c>
      <c r="Y21" s="44">
        <v>0</v>
      </c>
      <c r="Z21" s="44">
        <v>0</v>
      </c>
      <c r="AA21" s="44">
        <v>0</v>
      </c>
      <c r="AB21" s="44">
        <v>0</v>
      </c>
      <c r="AC21" s="44">
        <v>0</v>
      </c>
      <c r="AD21" s="44">
        <v>0</v>
      </c>
      <c r="AE21" s="44">
        <v>0</v>
      </c>
      <c r="AF21" s="44">
        <v>0</v>
      </c>
      <c r="AG21" s="44">
        <v>0</v>
      </c>
      <c r="AH21" s="44">
        <v>0</v>
      </c>
      <c r="AI21" s="44">
        <v>0</v>
      </c>
      <c r="AJ21" s="44">
        <v>0</v>
      </c>
      <c r="AK21" s="27"/>
      <c r="AL21" s="5"/>
      <c r="AM21" s="5"/>
      <c r="AN21" s="5"/>
      <c r="AO21" s="6"/>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row>
    <row r="22" spans="1:86" x14ac:dyDescent="0.3">
      <c r="A22" s="29" t="str">
        <f>HYPERLINK("#Construction_Draw_Schedule", Construction_Draw_Schedule)</f>
        <v>Construction Draw Schedule</v>
      </c>
      <c r="B22" s="27"/>
      <c r="C22" s="41" t="str" cm="1">
        <f t="array" ref="C22:D22">'[1]16. Project Costs'!C18:D18</f>
        <v>Other Purchase Bldgs &amp; Land</v>
      </c>
      <c r="D22" s="42">
        <v>0</v>
      </c>
      <c r="E22" s="149">
        <v>0</v>
      </c>
      <c r="F22" s="43">
        <f t="shared" ref="F22:F23" si="4">+E22-SUM(G22:AJ22)</f>
        <v>0</v>
      </c>
      <c r="G22" s="44">
        <f>+E22</f>
        <v>0</v>
      </c>
      <c r="H22" s="44">
        <v>0</v>
      </c>
      <c r="I22" s="44">
        <v>0</v>
      </c>
      <c r="J22" s="44">
        <v>0</v>
      </c>
      <c r="K22" s="44">
        <v>0</v>
      </c>
      <c r="L22" s="44">
        <v>0</v>
      </c>
      <c r="M22" s="44">
        <v>0</v>
      </c>
      <c r="N22" s="44">
        <v>0</v>
      </c>
      <c r="O22" s="44">
        <v>0</v>
      </c>
      <c r="P22" s="44">
        <v>0</v>
      </c>
      <c r="Q22" s="44">
        <v>0</v>
      </c>
      <c r="R22" s="44">
        <v>0</v>
      </c>
      <c r="S22" s="44">
        <v>0</v>
      </c>
      <c r="T22" s="44">
        <v>0</v>
      </c>
      <c r="U22" s="44">
        <v>0</v>
      </c>
      <c r="V22" s="44">
        <v>0</v>
      </c>
      <c r="W22" s="44">
        <v>0</v>
      </c>
      <c r="X22" s="44">
        <v>0</v>
      </c>
      <c r="Y22" s="44">
        <v>0</v>
      </c>
      <c r="Z22" s="44">
        <v>0</v>
      </c>
      <c r="AA22" s="44">
        <v>0</v>
      </c>
      <c r="AB22" s="44">
        <v>0</v>
      </c>
      <c r="AC22" s="44">
        <v>0</v>
      </c>
      <c r="AD22" s="44">
        <v>0</v>
      </c>
      <c r="AE22" s="44">
        <v>0</v>
      </c>
      <c r="AF22" s="44">
        <v>0</v>
      </c>
      <c r="AG22" s="44">
        <v>0</v>
      </c>
      <c r="AH22" s="44">
        <v>0</v>
      </c>
      <c r="AI22" s="44">
        <v>0</v>
      </c>
      <c r="AJ22" s="44">
        <v>0</v>
      </c>
      <c r="AK22" s="27"/>
      <c r="AL22" s="5"/>
      <c r="AM22" s="5"/>
      <c r="AN22" s="5"/>
      <c r="AO22" s="6"/>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row>
    <row r="23" spans="1:86" x14ac:dyDescent="0.3">
      <c r="A23" s="29" t="str">
        <f>HYPERLINK("#Instructions_Scoring_Summary", Instructions_Scoring_Summary)</f>
        <v>Instructions / Scoring Summary</v>
      </c>
      <c r="B23" s="27"/>
      <c r="C23" s="45" t="str" cm="1">
        <f t="array" ref="C23:D23">'[1]16. Project Costs'!C19:D19</f>
        <v>Other Acquisition</v>
      </c>
      <c r="D23" s="46">
        <v>0</v>
      </c>
      <c r="E23" s="47">
        <v>0</v>
      </c>
      <c r="F23" s="48">
        <f t="shared" si="4"/>
        <v>0</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27"/>
      <c r="AL23" s="5"/>
      <c r="AM23" s="5"/>
      <c r="AN23" s="5"/>
      <c r="AO23" s="6"/>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row>
    <row r="24" spans="1:86" x14ac:dyDescent="0.3">
      <c r="A24" s="29" t="str">
        <f>HYPERLINK("#Lower_Income_Areas", Lower_Income_Areas)</f>
        <v>Lower-Income Areas</v>
      </c>
      <c r="B24" s="27"/>
      <c r="C24" s="50" t="s">
        <v>44</v>
      </c>
      <c r="D24" s="50"/>
      <c r="E24" s="51">
        <f>SUM(E20:E23)</f>
        <v>0</v>
      </c>
      <c r="F24" s="52">
        <f>SUM(F20:F23)</f>
        <v>0</v>
      </c>
      <c r="G24" s="52">
        <f>SUM(G20:G23)</f>
        <v>0</v>
      </c>
      <c r="H24" s="52">
        <f t="shared" ref="H24:AJ24" si="5">SUM(H20:H23)</f>
        <v>0</v>
      </c>
      <c r="I24" s="52">
        <f t="shared" si="5"/>
        <v>0</v>
      </c>
      <c r="J24" s="52">
        <f t="shared" si="5"/>
        <v>0</v>
      </c>
      <c r="K24" s="52">
        <f t="shared" si="5"/>
        <v>0</v>
      </c>
      <c r="L24" s="52">
        <f t="shared" si="5"/>
        <v>0</v>
      </c>
      <c r="M24" s="52">
        <f t="shared" si="5"/>
        <v>0</v>
      </c>
      <c r="N24" s="52">
        <f t="shared" si="5"/>
        <v>0</v>
      </c>
      <c r="O24" s="52">
        <f t="shared" si="5"/>
        <v>0</v>
      </c>
      <c r="P24" s="52">
        <f t="shared" si="5"/>
        <v>0</v>
      </c>
      <c r="Q24" s="52">
        <f t="shared" si="5"/>
        <v>0</v>
      </c>
      <c r="R24" s="52">
        <f t="shared" si="5"/>
        <v>0</v>
      </c>
      <c r="S24" s="52">
        <f t="shared" si="5"/>
        <v>0</v>
      </c>
      <c r="T24" s="52">
        <f t="shared" si="5"/>
        <v>0</v>
      </c>
      <c r="U24" s="52">
        <f t="shared" si="5"/>
        <v>0</v>
      </c>
      <c r="V24" s="52">
        <f t="shared" si="5"/>
        <v>0</v>
      </c>
      <c r="W24" s="52">
        <f t="shared" si="5"/>
        <v>0</v>
      </c>
      <c r="X24" s="52">
        <f t="shared" si="5"/>
        <v>0</v>
      </c>
      <c r="Y24" s="52">
        <f t="shared" si="5"/>
        <v>0</v>
      </c>
      <c r="Z24" s="52">
        <f t="shared" si="5"/>
        <v>0</v>
      </c>
      <c r="AA24" s="52">
        <f t="shared" si="5"/>
        <v>0</v>
      </c>
      <c r="AB24" s="52">
        <f t="shared" si="5"/>
        <v>0</v>
      </c>
      <c r="AC24" s="52">
        <f t="shared" si="5"/>
        <v>0</v>
      </c>
      <c r="AD24" s="52">
        <f t="shared" si="5"/>
        <v>0</v>
      </c>
      <c r="AE24" s="52">
        <f t="shared" si="5"/>
        <v>0</v>
      </c>
      <c r="AF24" s="52">
        <f t="shared" si="5"/>
        <v>0</v>
      </c>
      <c r="AG24" s="52">
        <f t="shared" si="5"/>
        <v>0</v>
      </c>
      <c r="AH24" s="52">
        <f t="shared" si="5"/>
        <v>0</v>
      </c>
      <c r="AI24" s="52">
        <f t="shared" si="5"/>
        <v>0</v>
      </c>
      <c r="AJ24" s="52">
        <f t="shared" si="5"/>
        <v>0</v>
      </c>
      <c r="AK24" s="27"/>
      <c r="AL24" s="5"/>
      <c r="AM24" s="5"/>
      <c r="AN24" s="5"/>
      <c r="AO24" s="6"/>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row>
    <row r="25" spans="1:86" ht="15.6" x14ac:dyDescent="0.3">
      <c r="A25" s="29" t="str">
        <f>HYPERLINK("#Energy_Efficiency_and_Sustainablilty", Energy_Efficiency_and_Sustainablilty)</f>
        <v>Energy Efficiency and Sustainability</v>
      </c>
      <c r="B25" s="27"/>
      <c r="C25" s="53" t="s">
        <v>45</v>
      </c>
      <c r="D25" s="53"/>
      <c r="E25" s="139"/>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27"/>
      <c r="AL25" s="5"/>
      <c r="AM25" s="5"/>
      <c r="AN25" s="5"/>
      <c r="AO25" s="6"/>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row>
    <row r="26" spans="1:86" x14ac:dyDescent="0.3">
      <c r="A26" s="29" t="str">
        <f>HYPERLINK("#Mixed_Income_Incentive", Mixed_Income_Incentive)</f>
        <v>Mixed Income Incentive</v>
      </c>
      <c r="B26" s="27"/>
      <c r="C26" s="55" t="s">
        <v>46</v>
      </c>
      <c r="D26" s="55"/>
      <c r="E26" s="140"/>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27"/>
      <c r="AL26" s="5"/>
      <c r="AM26" s="5"/>
      <c r="AN26" s="5"/>
      <c r="AO26" s="6"/>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row>
    <row r="27" spans="1:86" x14ac:dyDescent="0.3">
      <c r="A27" s="29" t="str">
        <f>HYPERLINK("#Serves_Large_Families", Serves_Large_Families)</f>
        <v>Serves Large Families</v>
      </c>
      <c r="B27" s="27"/>
      <c r="C27" s="41" t="str" cm="1">
        <f t="array" ref="C27:D27">'[1]16. Project Costs'!C23:D23</f>
        <v>Hard/Construction Costs</v>
      </c>
      <c r="D27" s="42">
        <v>0</v>
      </c>
      <c r="E27" s="149">
        <v>0</v>
      </c>
      <c r="F27" s="43">
        <f t="shared" ref="F27:F33" si="6">+E27-SUM(G27:AJ27)</f>
        <v>0</v>
      </c>
      <c r="G27" s="44">
        <f t="shared" ref="G27:AJ33" si="7">+$E27*G$14</f>
        <v>0</v>
      </c>
      <c r="H27" s="44">
        <f t="shared" si="7"/>
        <v>0</v>
      </c>
      <c r="I27" s="44">
        <f t="shared" si="7"/>
        <v>0</v>
      </c>
      <c r="J27" s="44">
        <f t="shared" si="7"/>
        <v>0</v>
      </c>
      <c r="K27" s="44">
        <f t="shared" si="7"/>
        <v>0</v>
      </c>
      <c r="L27" s="44">
        <f t="shared" si="7"/>
        <v>0</v>
      </c>
      <c r="M27" s="44">
        <f t="shared" si="7"/>
        <v>0</v>
      </c>
      <c r="N27" s="44">
        <f t="shared" si="7"/>
        <v>0</v>
      </c>
      <c r="O27" s="44">
        <f t="shared" si="7"/>
        <v>0</v>
      </c>
      <c r="P27" s="44">
        <f t="shared" si="7"/>
        <v>0</v>
      </c>
      <c r="Q27" s="44">
        <f t="shared" si="7"/>
        <v>0</v>
      </c>
      <c r="R27" s="44">
        <f t="shared" si="7"/>
        <v>0</v>
      </c>
      <c r="S27" s="44">
        <f t="shared" si="7"/>
        <v>0</v>
      </c>
      <c r="T27" s="44">
        <f t="shared" si="7"/>
        <v>0</v>
      </c>
      <c r="U27" s="44">
        <f t="shared" si="7"/>
        <v>0</v>
      </c>
      <c r="V27" s="44">
        <f t="shared" si="7"/>
        <v>0</v>
      </c>
      <c r="W27" s="44">
        <f t="shared" si="7"/>
        <v>0</v>
      </c>
      <c r="X27" s="44">
        <f t="shared" si="7"/>
        <v>0</v>
      </c>
      <c r="Y27" s="44">
        <f t="shared" si="7"/>
        <v>0</v>
      </c>
      <c r="Z27" s="44">
        <f t="shared" si="7"/>
        <v>0</v>
      </c>
      <c r="AA27" s="44">
        <f t="shared" si="7"/>
        <v>0</v>
      </c>
      <c r="AB27" s="44">
        <f t="shared" si="7"/>
        <v>0</v>
      </c>
      <c r="AC27" s="44">
        <f t="shared" si="7"/>
        <v>0</v>
      </c>
      <c r="AD27" s="44">
        <f t="shared" si="7"/>
        <v>0</v>
      </c>
      <c r="AE27" s="44">
        <f t="shared" si="7"/>
        <v>0</v>
      </c>
      <c r="AF27" s="44">
        <f t="shared" si="7"/>
        <v>0</v>
      </c>
      <c r="AG27" s="44">
        <f t="shared" si="7"/>
        <v>0</v>
      </c>
      <c r="AH27" s="44">
        <f t="shared" si="7"/>
        <v>0</v>
      </c>
      <c r="AI27" s="44">
        <f t="shared" si="7"/>
        <v>0</v>
      </c>
      <c r="AJ27" s="44">
        <f t="shared" si="7"/>
        <v>0</v>
      </c>
      <c r="AK27" s="27"/>
      <c r="AL27" s="5"/>
      <c r="AM27" s="5"/>
      <c r="AN27" s="5"/>
      <c r="AO27" s="6"/>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row>
    <row r="28" spans="1:86" x14ac:dyDescent="0.3">
      <c r="A28" s="29" t="str">
        <f>HYPERLINK("#Serves_Lowest_Income_Residents", Serves_Lowest_Income_Residents)</f>
        <v>Serves Lowest-Income Residents</v>
      </c>
      <c r="B28" s="27"/>
      <c r="C28" s="41" t="str" cm="1">
        <f t="array" ref="C28:D28">+'[1]16. Project Costs'!C28:D28</f>
        <v>E - Equipment &amp; Furnishings</v>
      </c>
      <c r="D28" s="42">
        <v>0</v>
      </c>
      <c r="E28" s="149">
        <v>0</v>
      </c>
      <c r="F28" s="43">
        <f t="shared" si="6"/>
        <v>0</v>
      </c>
      <c r="G28" s="44">
        <f t="shared" si="7"/>
        <v>0</v>
      </c>
      <c r="H28" s="44">
        <f t="shared" si="7"/>
        <v>0</v>
      </c>
      <c r="I28" s="44">
        <f t="shared" si="7"/>
        <v>0</v>
      </c>
      <c r="J28" s="44">
        <f t="shared" si="7"/>
        <v>0</v>
      </c>
      <c r="K28" s="44">
        <f t="shared" si="7"/>
        <v>0</v>
      </c>
      <c r="L28" s="44">
        <f t="shared" si="7"/>
        <v>0</v>
      </c>
      <c r="M28" s="44">
        <f t="shared" si="7"/>
        <v>0</v>
      </c>
      <c r="N28" s="44">
        <f t="shared" si="7"/>
        <v>0</v>
      </c>
      <c r="O28" s="44">
        <f t="shared" si="7"/>
        <v>0</v>
      </c>
      <c r="P28" s="44">
        <f t="shared" si="7"/>
        <v>0</v>
      </c>
      <c r="Q28" s="44">
        <f t="shared" si="7"/>
        <v>0</v>
      </c>
      <c r="R28" s="44">
        <f t="shared" si="7"/>
        <v>0</v>
      </c>
      <c r="S28" s="44">
        <f t="shared" si="7"/>
        <v>0</v>
      </c>
      <c r="T28" s="44">
        <f t="shared" si="7"/>
        <v>0</v>
      </c>
      <c r="U28" s="44">
        <f t="shared" si="7"/>
        <v>0</v>
      </c>
      <c r="V28" s="44">
        <f t="shared" si="7"/>
        <v>0</v>
      </c>
      <c r="W28" s="44">
        <f t="shared" si="7"/>
        <v>0</v>
      </c>
      <c r="X28" s="44">
        <f t="shared" si="7"/>
        <v>0</v>
      </c>
      <c r="Y28" s="44">
        <f t="shared" si="7"/>
        <v>0</v>
      </c>
      <c r="Z28" s="44">
        <f t="shared" si="7"/>
        <v>0</v>
      </c>
      <c r="AA28" s="44">
        <f t="shared" si="7"/>
        <v>0</v>
      </c>
      <c r="AB28" s="44">
        <f t="shared" si="7"/>
        <v>0</v>
      </c>
      <c r="AC28" s="44">
        <f t="shared" si="7"/>
        <v>0</v>
      </c>
      <c r="AD28" s="44">
        <f t="shared" si="7"/>
        <v>0</v>
      </c>
      <c r="AE28" s="44">
        <f t="shared" si="7"/>
        <v>0</v>
      </c>
      <c r="AF28" s="44">
        <f t="shared" si="7"/>
        <v>0</v>
      </c>
      <c r="AG28" s="44">
        <f t="shared" si="7"/>
        <v>0</v>
      </c>
      <c r="AH28" s="44">
        <f t="shared" si="7"/>
        <v>0</v>
      </c>
      <c r="AI28" s="44">
        <f t="shared" si="7"/>
        <v>0</v>
      </c>
      <c r="AJ28" s="44">
        <f t="shared" si="7"/>
        <v>0</v>
      </c>
      <c r="AK28" s="27"/>
      <c r="AL28" s="5"/>
      <c r="AM28" s="5"/>
      <c r="AN28" s="5"/>
      <c r="AO28" s="6"/>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row>
    <row r="29" spans="1:86" x14ac:dyDescent="0.3">
      <c r="A29" s="29"/>
      <c r="B29" s="27"/>
      <c r="C29" s="41" t="str" cm="1">
        <f t="array" ref="C29:D29">+'[1]16. Project Costs'!C29:D29</f>
        <v>F - Special Construction &amp; Demolition</v>
      </c>
      <c r="D29" s="42">
        <v>0</v>
      </c>
      <c r="E29" s="149">
        <v>0</v>
      </c>
      <c r="F29" s="43">
        <f t="shared" si="6"/>
        <v>0</v>
      </c>
      <c r="G29" s="44">
        <f t="shared" si="7"/>
        <v>0</v>
      </c>
      <c r="H29" s="44">
        <f t="shared" si="7"/>
        <v>0</v>
      </c>
      <c r="I29" s="44">
        <f t="shared" si="7"/>
        <v>0</v>
      </c>
      <c r="J29" s="44">
        <f t="shared" si="7"/>
        <v>0</v>
      </c>
      <c r="K29" s="44">
        <f t="shared" si="7"/>
        <v>0</v>
      </c>
      <c r="L29" s="44">
        <f t="shared" si="7"/>
        <v>0</v>
      </c>
      <c r="M29" s="44">
        <f t="shared" si="7"/>
        <v>0</v>
      </c>
      <c r="N29" s="44">
        <f t="shared" si="7"/>
        <v>0</v>
      </c>
      <c r="O29" s="44">
        <f t="shared" si="7"/>
        <v>0</v>
      </c>
      <c r="P29" s="44">
        <f t="shared" si="7"/>
        <v>0</v>
      </c>
      <c r="Q29" s="44">
        <f t="shared" si="7"/>
        <v>0</v>
      </c>
      <c r="R29" s="44">
        <f t="shared" si="7"/>
        <v>0</v>
      </c>
      <c r="S29" s="44">
        <f t="shared" si="7"/>
        <v>0</v>
      </c>
      <c r="T29" s="44">
        <f t="shared" si="7"/>
        <v>0</v>
      </c>
      <c r="U29" s="44">
        <f t="shared" si="7"/>
        <v>0</v>
      </c>
      <c r="V29" s="44">
        <f t="shared" si="7"/>
        <v>0</v>
      </c>
      <c r="W29" s="44">
        <f t="shared" si="7"/>
        <v>0</v>
      </c>
      <c r="X29" s="44">
        <f t="shared" si="7"/>
        <v>0</v>
      </c>
      <c r="Y29" s="44">
        <f t="shared" si="7"/>
        <v>0</v>
      </c>
      <c r="Z29" s="44">
        <f t="shared" si="7"/>
        <v>0</v>
      </c>
      <c r="AA29" s="44">
        <f t="shared" si="7"/>
        <v>0</v>
      </c>
      <c r="AB29" s="44">
        <f t="shared" si="7"/>
        <v>0</v>
      </c>
      <c r="AC29" s="44">
        <f t="shared" si="7"/>
        <v>0</v>
      </c>
      <c r="AD29" s="44">
        <f t="shared" si="7"/>
        <v>0</v>
      </c>
      <c r="AE29" s="44">
        <f t="shared" si="7"/>
        <v>0</v>
      </c>
      <c r="AF29" s="44">
        <f t="shared" si="7"/>
        <v>0</v>
      </c>
      <c r="AG29" s="44">
        <f t="shared" si="7"/>
        <v>0</v>
      </c>
      <c r="AH29" s="44">
        <f t="shared" si="7"/>
        <v>0</v>
      </c>
      <c r="AI29" s="44">
        <f t="shared" si="7"/>
        <v>0</v>
      </c>
      <c r="AJ29" s="44">
        <f t="shared" si="7"/>
        <v>0</v>
      </c>
      <c r="AK29" s="27"/>
      <c r="AL29" s="5"/>
      <c r="AM29" s="5"/>
      <c r="AN29" s="5"/>
      <c r="AO29" s="6"/>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row>
    <row r="30" spans="1:86" x14ac:dyDescent="0.3">
      <c r="A30" s="29"/>
      <c r="B30" s="27"/>
      <c r="C30" s="41" t="str" cm="1">
        <f t="array" ref="C30:D30">+'[1]16. Project Costs'!C31:D31</f>
        <v>Escalation</v>
      </c>
      <c r="D30" s="42">
        <v>0</v>
      </c>
      <c r="E30" s="149">
        <v>0</v>
      </c>
      <c r="F30" s="43">
        <f t="shared" si="6"/>
        <v>0</v>
      </c>
      <c r="G30" s="44">
        <f t="shared" si="7"/>
        <v>0</v>
      </c>
      <c r="H30" s="44">
        <f t="shared" si="7"/>
        <v>0</v>
      </c>
      <c r="I30" s="44">
        <f t="shared" si="7"/>
        <v>0</v>
      </c>
      <c r="J30" s="44">
        <f t="shared" si="7"/>
        <v>0</v>
      </c>
      <c r="K30" s="44">
        <f t="shared" si="7"/>
        <v>0</v>
      </c>
      <c r="L30" s="44">
        <f t="shared" si="7"/>
        <v>0</v>
      </c>
      <c r="M30" s="44">
        <f t="shared" si="7"/>
        <v>0</v>
      </c>
      <c r="N30" s="44">
        <f t="shared" si="7"/>
        <v>0</v>
      </c>
      <c r="O30" s="44">
        <f t="shared" si="7"/>
        <v>0</v>
      </c>
      <c r="P30" s="44">
        <f t="shared" si="7"/>
        <v>0</v>
      </c>
      <c r="Q30" s="44">
        <f t="shared" si="7"/>
        <v>0</v>
      </c>
      <c r="R30" s="44">
        <f t="shared" si="7"/>
        <v>0</v>
      </c>
      <c r="S30" s="44">
        <f t="shared" si="7"/>
        <v>0</v>
      </c>
      <c r="T30" s="44">
        <f t="shared" si="7"/>
        <v>0</v>
      </c>
      <c r="U30" s="44">
        <f t="shared" si="7"/>
        <v>0</v>
      </c>
      <c r="V30" s="44">
        <f t="shared" si="7"/>
        <v>0</v>
      </c>
      <c r="W30" s="44">
        <f t="shared" si="7"/>
        <v>0</v>
      </c>
      <c r="X30" s="44">
        <f t="shared" si="7"/>
        <v>0</v>
      </c>
      <c r="Y30" s="44">
        <f t="shared" si="7"/>
        <v>0</v>
      </c>
      <c r="Z30" s="44">
        <f t="shared" si="7"/>
        <v>0</v>
      </c>
      <c r="AA30" s="44">
        <f t="shared" si="7"/>
        <v>0</v>
      </c>
      <c r="AB30" s="44">
        <f t="shared" si="7"/>
        <v>0</v>
      </c>
      <c r="AC30" s="44">
        <f t="shared" si="7"/>
        <v>0</v>
      </c>
      <c r="AD30" s="44">
        <f t="shared" si="7"/>
        <v>0</v>
      </c>
      <c r="AE30" s="44">
        <f t="shared" si="7"/>
        <v>0</v>
      </c>
      <c r="AF30" s="44">
        <f t="shared" si="7"/>
        <v>0</v>
      </c>
      <c r="AG30" s="44">
        <f t="shared" si="7"/>
        <v>0</v>
      </c>
      <c r="AH30" s="44">
        <f t="shared" si="7"/>
        <v>0</v>
      </c>
      <c r="AI30" s="44">
        <f t="shared" si="7"/>
        <v>0</v>
      </c>
      <c r="AJ30" s="44">
        <f t="shared" si="7"/>
        <v>0</v>
      </c>
      <c r="AK30" s="27"/>
      <c r="AL30" s="5"/>
      <c r="AM30" s="5"/>
      <c r="AN30" s="5"/>
      <c r="AO30" s="6"/>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row>
    <row r="31" spans="1:86" x14ac:dyDescent="0.3">
      <c r="A31" s="29" t="str">
        <f>HYPERLINK("#Supportive_Housing_Header", Supportive_Housing_Header)</f>
        <v>Supportive Housing</v>
      </c>
      <c r="B31" s="27"/>
      <c r="C31" s="41" t="str" cm="1">
        <f t="array" ref="C31:D31">'[1]16. Project Costs'!C32:D32</f>
        <v>Accessory Buildings (Garage, storage, etc.)</v>
      </c>
      <c r="D31" s="42">
        <v>0</v>
      </c>
      <c r="E31" s="149">
        <v>0</v>
      </c>
      <c r="F31" s="43">
        <f t="shared" si="6"/>
        <v>0</v>
      </c>
      <c r="G31" s="44">
        <f t="shared" si="7"/>
        <v>0</v>
      </c>
      <c r="H31" s="44">
        <f t="shared" si="7"/>
        <v>0</v>
      </c>
      <c r="I31" s="44">
        <f t="shared" si="7"/>
        <v>0</v>
      </c>
      <c r="J31" s="44">
        <f t="shared" si="7"/>
        <v>0</v>
      </c>
      <c r="K31" s="44">
        <f t="shared" si="7"/>
        <v>0</v>
      </c>
      <c r="L31" s="44">
        <f t="shared" si="7"/>
        <v>0</v>
      </c>
      <c r="M31" s="44">
        <f t="shared" si="7"/>
        <v>0</v>
      </c>
      <c r="N31" s="44">
        <f t="shared" si="7"/>
        <v>0</v>
      </c>
      <c r="O31" s="44">
        <f t="shared" si="7"/>
        <v>0</v>
      </c>
      <c r="P31" s="44">
        <f t="shared" si="7"/>
        <v>0</v>
      </c>
      <c r="Q31" s="44">
        <f t="shared" si="7"/>
        <v>0</v>
      </c>
      <c r="R31" s="44">
        <f t="shared" si="7"/>
        <v>0</v>
      </c>
      <c r="S31" s="44">
        <f t="shared" si="7"/>
        <v>0</v>
      </c>
      <c r="T31" s="44">
        <f t="shared" si="7"/>
        <v>0</v>
      </c>
      <c r="U31" s="44">
        <f t="shared" si="7"/>
        <v>0</v>
      </c>
      <c r="V31" s="44">
        <f t="shared" si="7"/>
        <v>0</v>
      </c>
      <c r="W31" s="44">
        <f t="shared" si="7"/>
        <v>0</v>
      </c>
      <c r="X31" s="44">
        <f t="shared" si="7"/>
        <v>0</v>
      </c>
      <c r="Y31" s="44">
        <f t="shared" si="7"/>
        <v>0</v>
      </c>
      <c r="Z31" s="44">
        <f t="shared" si="7"/>
        <v>0</v>
      </c>
      <c r="AA31" s="44">
        <f t="shared" si="7"/>
        <v>0</v>
      </c>
      <c r="AB31" s="44">
        <f t="shared" si="7"/>
        <v>0</v>
      </c>
      <c r="AC31" s="44">
        <f t="shared" si="7"/>
        <v>0</v>
      </c>
      <c r="AD31" s="44">
        <f t="shared" si="7"/>
        <v>0</v>
      </c>
      <c r="AE31" s="44">
        <f t="shared" si="7"/>
        <v>0</v>
      </c>
      <c r="AF31" s="44">
        <f t="shared" si="7"/>
        <v>0</v>
      </c>
      <c r="AG31" s="44">
        <f t="shared" si="7"/>
        <v>0</v>
      </c>
      <c r="AH31" s="44">
        <f t="shared" si="7"/>
        <v>0</v>
      </c>
      <c r="AI31" s="44">
        <f t="shared" si="7"/>
        <v>0</v>
      </c>
      <c r="AJ31" s="44">
        <f t="shared" si="7"/>
        <v>0</v>
      </c>
      <c r="AK31" s="27"/>
      <c r="AL31" s="5"/>
      <c r="AM31" s="5"/>
      <c r="AN31" s="5"/>
      <c r="AO31" s="6"/>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row>
    <row r="32" spans="1:86" x14ac:dyDescent="0.3">
      <c r="A32" s="29" t="str">
        <f>HYPERLINK("#Veterans_Housing", Veterans_Housing)</f>
        <v>Veteran's Housing</v>
      </c>
      <c r="B32" s="27"/>
      <c r="C32" s="41" t="str" cm="1">
        <f t="array" ref="C32:D32">'[1]16. Project Costs'!C33:D33</f>
        <v>Personal Property / Furniture, Fixtures, &amp; Equipment</v>
      </c>
      <c r="D32" s="42">
        <v>0</v>
      </c>
      <c r="E32" s="149">
        <v>0</v>
      </c>
      <c r="F32" s="43">
        <f t="shared" si="6"/>
        <v>0</v>
      </c>
      <c r="G32" s="44">
        <f t="shared" si="7"/>
        <v>0</v>
      </c>
      <c r="H32" s="44">
        <f t="shared" si="7"/>
        <v>0</v>
      </c>
      <c r="I32" s="44">
        <f t="shared" si="7"/>
        <v>0</v>
      </c>
      <c r="J32" s="44">
        <f t="shared" si="7"/>
        <v>0</v>
      </c>
      <c r="K32" s="44">
        <f t="shared" si="7"/>
        <v>0</v>
      </c>
      <c r="L32" s="44">
        <f t="shared" si="7"/>
        <v>0</v>
      </c>
      <c r="M32" s="44">
        <f t="shared" si="7"/>
        <v>0</v>
      </c>
      <c r="N32" s="44">
        <f t="shared" si="7"/>
        <v>0</v>
      </c>
      <c r="O32" s="44">
        <f t="shared" si="7"/>
        <v>0</v>
      </c>
      <c r="P32" s="44">
        <f t="shared" si="7"/>
        <v>0</v>
      </c>
      <c r="Q32" s="44">
        <f t="shared" si="7"/>
        <v>0</v>
      </c>
      <c r="R32" s="44">
        <f t="shared" si="7"/>
        <v>0</v>
      </c>
      <c r="S32" s="44">
        <f t="shared" si="7"/>
        <v>0</v>
      </c>
      <c r="T32" s="44">
        <f t="shared" si="7"/>
        <v>0</v>
      </c>
      <c r="U32" s="44">
        <f t="shared" si="7"/>
        <v>0</v>
      </c>
      <c r="V32" s="44">
        <f t="shared" si="7"/>
        <v>0</v>
      </c>
      <c r="W32" s="44">
        <f t="shared" si="7"/>
        <v>0</v>
      </c>
      <c r="X32" s="44">
        <f t="shared" si="7"/>
        <v>0</v>
      </c>
      <c r="Y32" s="44">
        <f t="shared" si="7"/>
        <v>0</v>
      </c>
      <c r="Z32" s="44">
        <f t="shared" si="7"/>
        <v>0</v>
      </c>
      <c r="AA32" s="44">
        <f t="shared" si="7"/>
        <v>0</v>
      </c>
      <c r="AB32" s="44">
        <f t="shared" si="7"/>
        <v>0</v>
      </c>
      <c r="AC32" s="44">
        <f t="shared" si="7"/>
        <v>0</v>
      </c>
      <c r="AD32" s="44">
        <f t="shared" si="7"/>
        <v>0</v>
      </c>
      <c r="AE32" s="44">
        <f t="shared" si="7"/>
        <v>0</v>
      </c>
      <c r="AF32" s="44">
        <f t="shared" si="7"/>
        <v>0</v>
      </c>
      <c r="AG32" s="44">
        <f t="shared" si="7"/>
        <v>0</v>
      </c>
      <c r="AH32" s="44">
        <f t="shared" si="7"/>
        <v>0</v>
      </c>
      <c r="AI32" s="44">
        <f t="shared" si="7"/>
        <v>0</v>
      </c>
      <c r="AJ32" s="44">
        <f t="shared" si="7"/>
        <v>0</v>
      </c>
      <c r="AK32" s="27"/>
      <c r="AL32" s="5"/>
      <c r="AM32" s="5"/>
      <c r="AN32" s="5"/>
      <c r="AO32" s="6"/>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row>
    <row r="33" spans="1:86" x14ac:dyDescent="0.3">
      <c r="A33" s="29" t="str">
        <f>HYPERLINK("#Rehab_Neighborhood_Stabilization", Rehab_Neighborhood_Stabilization)</f>
        <v>Rehab/Neighborhood Stabilization</v>
      </c>
      <c r="B33" s="27"/>
      <c r="C33" s="45" t="str" cm="1">
        <f t="array" ref="C33:D33">'[1]16. Project Costs'!C34:D34</f>
        <v>Other New Construction/Rehabilitation</v>
      </c>
      <c r="D33" s="46">
        <v>0</v>
      </c>
      <c r="E33" s="149">
        <v>0</v>
      </c>
      <c r="F33" s="43">
        <f t="shared" si="6"/>
        <v>0</v>
      </c>
      <c r="G33" s="44">
        <f t="shared" si="7"/>
        <v>0</v>
      </c>
      <c r="H33" s="44">
        <f t="shared" si="7"/>
        <v>0</v>
      </c>
      <c r="I33" s="44">
        <f t="shared" si="7"/>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0</v>
      </c>
      <c r="W33" s="44">
        <f t="shared" si="7"/>
        <v>0</v>
      </c>
      <c r="X33" s="44">
        <f t="shared" si="7"/>
        <v>0</v>
      </c>
      <c r="Y33" s="44">
        <f t="shared" si="7"/>
        <v>0</v>
      </c>
      <c r="Z33" s="44">
        <f t="shared" si="7"/>
        <v>0</v>
      </c>
      <c r="AA33" s="44">
        <f t="shared" si="7"/>
        <v>0</v>
      </c>
      <c r="AB33" s="44">
        <f t="shared" si="7"/>
        <v>0</v>
      </c>
      <c r="AC33" s="44">
        <f t="shared" si="7"/>
        <v>0</v>
      </c>
      <c r="AD33" s="44">
        <f t="shared" si="7"/>
        <v>0</v>
      </c>
      <c r="AE33" s="44">
        <f t="shared" si="7"/>
        <v>0</v>
      </c>
      <c r="AF33" s="44">
        <f t="shared" si="7"/>
        <v>0</v>
      </c>
      <c r="AG33" s="44">
        <f t="shared" si="7"/>
        <v>0</v>
      </c>
      <c r="AH33" s="44">
        <f t="shared" si="7"/>
        <v>0</v>
      </c>
      <c r="AI33" s="44">
        <f t="shared" si="7"/>
        <v>0</v>
      </c>
      <c r="AJ33" s="44">
        <f t="shared" si="7"/>
        <v>0</v>
      </c>
      <c r="AK33" s="27"/>
      <c r="AL33" s="5"/>
      <c r="AM33" s="5"/>
      <c r="AN33" s="5"/>
      <c r="AO33" s="6"/>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row>
    <row r="34" spans="1:86" x14ac:dyDescent="0.3">
      <c r="A34" s="29" t="str">
        <f>HYPERLINK("#Universal_Design", Universal_Design)</f>
        <v>Universal Design</v>
      </c>
      <c r="B34" s="27"/>
      <c r="C34" s="57" t="s">
        <v>47</v>
      </c>
      <c r="D34" s="57"/>
      <c r="E34" s="151">
        <f>SUM(E27:E33)</f>
        <v>0</v>
      </c>
      <c r="F34" s="58">
        <f>SUM(F27:F33)</f>
        <v>0</v>
      </c>
      <c r="G34" s="58">
        <f>SUM(G27:G33)</f>
        <v>0</v>
      </c>
      <c r="H34" s="58">
        <f>SUM(H27:H33)</f>
        <v>0</v>
      </c>
      <c r="I34" s="58">
        <f t="shared" ref="I34:AJ34" si="8">SUM(I27:I33)</f>
        <v>0</v>
      </c>
      <c r="J34" s="58">
        <f t="shared" si="8"/>
        <v>0</v>
      </c>
      <c r="K34" s="58">
        <f t="shared" si="8"/>
        <v>0</v>
      </c>
      <c r="L34" s="58">
        <f t="shared" si="8"/>
        <v>0</v>
      </c>
      <c r="M34" s="58">
        <f t="shared" si="8"/>
        <v>0</v>
      </c>
      <c r="N34" s="58">
        <f t="shared" si="8"/>
        <v>0</v>
      </c>
      <c r="O34" s="58">
        <f t="shared" si="8"/>
        <v>0</v>
      </c>
      <c r="P34" s="58">
        <f t="shared" si="8"/>
        <v>0</v>
      </c>
      <c r="Q34" s="58">
        <f t="shared" si="8"/>
        <v>0</v>
      </c>
      <c r="R34" s="58">
        <f t="shared" si="8"/>
        <v>0</v>
      </c>
      <c r="S34" s="58">
        <f t="shared" si="8"/>
        <v>0</v>
      </c>
      <c r="T34" s="58">
        <f t="shared" si="8"/>
        <v>0</v>
      </c>
      <c r="U34" s="58">
        <f t="shared" si="8"/>
        <v>0</v>
      </c>
      <c r="V34" s="58">
        <f t="shared" si="8"/>
        <v>0</v>
      </c>
      <c r="W34" s="58">
        <f t="shared" si="8"/>
        <v>0</v>
      </c>
      <c r="X34" s="58">
        <f t="shared" si="8"/>
        <v>0</v>
      </c>
      <c r="Y34" s="58">
        <f t="shared" si="8"/>
        <v>0</v>
      </c>
      <c r="Z34" s="58">
        <f t="shared" si="8"/>
        <v>0</v>
      </c>
      <c r="AA34" s="58">
        <f t="shared" si="8"/>
        <v>0</v>
      </c>
      <c r="AB34" s="58">
        <f t="shared" si="8"/>
        <v>0</v>
      </c>
      <c r="AC34" s="58">
        <f t="shared" si="8"/>
        <v>0</v>
      </c>
      <c r="AD34" s="58">
        <f t="shared" si="8"/>
        <v>0</v>
      </c>
      <c r="AE34" s="58">
        <f t="shared" si="8"/>
        <v>0</v>
      </c>
      <c r="AF34" s="58">
        <f t="shared" si="8"/>
        <v>0</v>
      </c>
      <c r="AG34" s="58">
        <f t="shared" si="8"/>
        <v>0</v>
      </c>
      <c r="AH34" s="58">
        <f t="shared" si="8"/>
        <v>0</v>
      </c>
      <c r="AI34" s="58">
        <f t="shared" si="8"/>
        <v>0</v>
      </c>
      <c r="AJ34" s="58">
        <f t="shared" si="8"/>
        <v>0</v>
      </c>
      <c r="AK34" s="27"/>
      <c r="AL34" s="5"/>
      <c r="AM34" s="5"/>
      <c r="AN34" s="5"/>
      <c r="AO34" s="6"/>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row>
    <row r="35" spans="1:86" hidden="1" x14ac:dyDescent="0.3">
      <c r="A35" s="29" t="str">
        <f>HYPERLINK("#Financial_Leverage", Financial_Leverage)</f>
        <v>Financial Leverage</v>
      </c>
      <c r="B35" s="27"/>
      <c r="C35" s="59" t="s">
        <v>48</v>
      </c>
      <c r="D35" s="59"/>
      <c r="E35" s="142"/>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27"/>
      <c r="AL35" s="5"/>
      <c r="AM35" s="5"/>
      <c r="AN35" s="5"/>
      <c r="AO35" s="6"/>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row>
    <row r="36" spans="1:86" hidden="1" x14ac:dyDescent="0.3">
      <c r="A36" s="29" t="str">
        <f>HYPERLINK("#Eventual_Tenant_Ownership", Eventual_Tenant_Ownership)</f>
        <v>Eventual Tenant Ownership</v>
      </c>
      <c r="B36" s="27"/>
      <c r="C36" s="60" t="str" cm="1">
        <f t="array" ref="C36:D36">'[1]16. Project Costs'!C37:D37</f>
        <v>Off Site Work</v>
      </c>
      <c r="D36" s="42">
        <v>0</v>
      </c>
      <c r="E36" s="149">
        <v>0</v>
      </c>
      <c r="F36" s="43">
        <f t="shared" ref="F36:F41" si="9">+E36-SUM(G36:AJ36)</f>
        <v>0</v>
      </c>
      <c r="G36" s="44">
        <f t="shared" ref="G36:AJ36" si="10">+$E36*G$14</f>
        <v>0</v>
      </c>
      <c r="H36" s="44">
        <f t="shared" si="10"/>
        <v>0</v>
      </c>
      <c r="I36" s="44">
        <f t="shared" si="10"/>
        <v>0</v>
      </c>
      <c r="J36" s="44">
        <f t="shared" si="10"/>
        <v>0</v>
      </c>
      <c r="K36" s="44">
        <f t="shared" si="10"/>
        <v>0</v>
      </c>
      <c r="L36" s="44">
        <f t="shared" si="10"/>
        <v>0</v>
      </c>
      <c r="M36" s="44">
        <f t="shared" si="10"/>
        <v>0</v>
      </c>
      <c r="N36" s="44">
        <f t="shared" si="10"/>
        <v>0</v>
      </c>
      <c r="O36" s="44">
        <f t="shared" si="10"/>
        <v>0</v>
      </c>
      <c r="P36" s="44">
        <f t="shared" si="10"/>
        <v>0</v>
      </c>
      <c r="Q36" s="44">
        <f t="shared" si="10"/>
        <v>0</v>
      </c>
      <c r="R36" s="44">
        <f t="shared" si="10"/>
        <v>0</v>
      </c>
      <c r="S36" s="44">
        <f t="shared" si="10"/>
        <v>0</v>
      </c>
      <c r="T36" s="44">
        <f t="shared" si="10"/>
        <v>0</v>
      </c>
      <c r="U36" s="44">
        <f t="shared" si="10"/>
        <v>0</v>
      </c>
      <c r="V36" s="44">
        <f t="shared" si="10"/>
        <v>0</v>
      </c>
      <c r="W36" s="44">
        <f t="shared" si="10"/>
        <v>0</v>
      </c>
      <c r="X36" s="44">
        <f t="shared" si="10"/>
        <v>0</v>
      </c>
      <c r="Y36" s="44">
        <f t="shared" si="10"/>
        <v>0</v>
      </c>
      <c r="Z36" s="44">
        <f t="shared" si="10"/>
        <v>0</v>
      </c>
      <c r="AA36" s="44">
        <f t="shared" si="10"/>
        <v>0</v>
      </c>
      <c r="AB36" s="44">
        <f t="shared" si="10"/>
        <v>0</v>
      </c>
      <c r="AC36" s="44">
        <f t="shared" si="10"/>
        <v>0</v>
      </c>
      <c r="AD36" s="44">
        <f t="shared" si="10"/>
        <v>0</v>
      </c>
      <c r="AE36" s="44">
        <f t="shared" si="10"/>
        <v>0</v>
      </c>
      <c r="AF36" s="44">
        <f t="shared" si="10"/>
        <v>0</v>
      </c>
      <c r="AG36" s="44">
        <f t="shared" si="10"/>
        <v>0</v>
      </c>
      <c r="AH36" s="44">
        <f t="shared" si="10"/>
        <v>0</v>
      </c>
      <c r="AI36" s="44">
        <f t="shared" si="10"/>
        <v>0</v>
      </c>
      <c r="AJ36" s="44">
        <f t="shared" si="10"/>
        <v>0</v>
      </c>
      <c r="AK36" s="27"/>
      <c r="AL36" s="5"/>
      <c r="AM36" s="5"/>
      <c r="AN36" s="5"/>
      <c r="AO36" s="6"/>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row>
    <row r="37" spans="1:86" hidden="1" x14ac:dyDescent="0.3">
      <c r="A37" s="29"/>
      <c r="B37" s="27"/>
      <c r="C37" s="42" t="str" cm="1">
        <f t="array" ref="C37:D37">'[1]16. Project Costs'!C38:D38</f>
        <v>Utilities</v>
      </c>
      <c r="D37" s="42">
        <v>0</v>
      </c>
      <c r="E37" s="143">
        <f>Utilities_Total</f>
        <v>0</v>
      </c>
      <c r="F37" s="61">
        <f t="shared" si="9"/>
        <v>0</v>
      </c>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27"/>
      <c r="AL37" s="5"/>
      <c r="AM37" s="5"/>
      <c r="AN37" s="5"/>
      <c r="AO37" s="6"/>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row>
    <row r="38" spans="1:86" hidden="1" x14ac:dyDescent="0.3">
      <c r="A38" s="29"/>
      <c r="B38" s="27"/>
      <c r="C38" s="42" t="str" cm="1">
        <f t="array" ref="C38:D38">'[1]16. Project Costs'!C39:D39</f>
        <v>Lawns and Plantings</v>
      </c>
      <c r="D38" s="42">
        <v>0</v>
      </c>
      <c r="E38" s="143">
        <f>Lawn_Total</f>
        <v>0</v>
      </c>
      <c r="F38" s="61">
        <f t="shared" si="9"/>
        <v>0</v>
      </c>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27"/>
      <c r="AL38" s="5"/>
      <c r="AM38" s="5"/>
      <c r="AN38" s="5"/>
      <c r="AO38" s="6"/>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row>
    <row r="39" spans="1:86" hidden="1" x14ac:dyDescent="0.3">
      <c r="A39" s="29"/>
      <c r="B39" s="27"/>
      <c r="C39" s="42" t="str" cm="1">
        <f t="array" ref="C39:D39">'[1]16. Project Costs'!C40:D40</f>
        <v>Unusual Site Conditions</v>
      </c>
      <c r="D39" s="42">
        <v>0</v>
      </c>
      <c r="E39" s="143">
        <f>Unusual_Site_Total</f>
        <v>0</v>
      </c>
      <c r="F39" s="61">
        <f t="shared" si="9"/>
        <v>0</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27"/>
      <c r="AL39" s="5"/>
      <c r="AM39" s="5"/>
      <c r="AN39" s="5"/>
      <c r="AO39" s="6"/>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row>
    <row r="40" spans="1:86" hidden="1" x14ac:dyDescent="0.3">
      <c r="A40" s="29"/>
      <c r="B40" s="27"/>
      <c r="C40" s="42" t="str" cm="1">
        <f t="array" ref="C40:D40">'[1]16. Project Costs'!C41:D41</f>
        <v xml:space="preserve">Roads , Walks &amp; Paving </v>
      </c>
      <c r="D40" s="42">
        <v>0</v>
      </c>
      <c r="E40" s="143">
        <f>Roads_Walks_Total</f>
        <v>0</v>
      </c>
      <c r="F40" s="61">
        <f t="shared" si="9"/>
        <v>0</v>
      </c>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27"/>
      <c r="AL40" s="5"/>
      <c r="AM40" s="5"/>
      <c r="AN40" s="5"/>
      <c r="AO40" s="6"/>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row>
    <row r="41" spans="1:86" hidden="1" x14ac:dyDescent="0.3">
      <c r="A41" s="29"/>
      <c r="B41" s="27"/>
      <c r="C41" s="46" t="str" cm="1">
        <f t="array" ref="C41:D41">'[1]16. Project Costs'!C42:D42</f>
        <v>Other Off Site Work</v>
      </c>
      <c r="D41" s="46">
        <v>0</v>
      </c>
      <c r="E41" s="143">
        <f>Off_Site_Work_Total</f>
        <v>0</v>
      </c>
      <c r="F41" s="61">
        <f t="shared" si="9"/>
        <v>0</v>
      </c>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27"/>
      <c r="AL41" s="5"/>
      <c r="AM41" s="5"/>
      <c r="AN41" s="5"/>
      <c r="AO41" s="6"/>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row>
    <row r="42" spans="1:86" hidden="1" x14ac:dyDescent="0.3">
      <c r="A42" s="29" t="str">
        <f>HYPERLINK("#Development_Team", Development_Team)</f>
        <v>Development Team</v>
      </c>
      <c r="B42" s="27"/>
      <c r="C42" s="57" t="s">
        <v>49</v>
      </c>
      <c r="D42" s="57"/>
      <c r="E42" s="151">
        <f>SUM(E36:E41)</f>
        <v>0</v>
      </c>
      <c r="F42" s="58">
        <f>SUM(F36:F41)</f>
        <v>0</v>
      </c>
      <c r="G42" s="58">
        <f>SUM(G36:G41)</f>
        <v>0</v>
      </c>
      <c r="H42" s="58">
        <f>SUM(H36:H41)</f>
        <v>0</v>
      </c>
      <c r="I42" s="58">
        <f t="shared" ref="I42:AJ42" si="11">SUM(I36:I41)</f>
        <v>0</v>
      </c>
      <c r="J42" s="58">
        <f t="shared" si="11"/>
        <v>0</v>
      </c>
      <c r="K42" s="58">
        <f t="shared" si="11"/>
        <v>0</v>
      </c>
      <c r="L42" s="58">
        <f t="shared" si="11"/>
        <v>0</v>
      </c>
      <c r="M42" s="58">
        <f t="shared" si="11"/>
        <v>0</v>
      </c>
      <c r="N42" s="58">
        <f t="shared" si="11"/>
        <v>0</v>
      </c>
      <c r="O42" s="58">
        <f t="shared" si="11"/>
        <v>0</v>
      </c>
      <c r="P42" s="58">
        <f t="shared" si="11"/>
        <v>0</v>
      </c>
      <c r="Q42" s="58">
        <f t="shared" si="11"/>
        <v>0</v>
      </c>
      <c r="R42" s="58">
        <f t="shared" si="11"/>
        <v>0</v>
      </c>
      <c r="S42" s="58">
        <f t="shared" si="11"/>
        <v>0</v>
      </c>
      <c r="T42" s="58">
        <f t="shared" si="11"/>
        <v>0</v>
      </c>
      <c r="U42" s="58">
        <f t="shared" si="11"/>
        <v>0</v>
      </c>
      <c r="V42" s="58">
        <f t="shared" si="11"/>
        <v>0</v>
      </c>
      <c r="W42" s="58">
        <f t="shared" si="11"/>
        <v>0</v>
      </c>
      <c r="X42" s="58">
        <f t="shared" si="11"/>
        <v>0</v>
      </c>
      <c r="Y42" s="58">
        <f t="shared" si="11"/>
        <v>0</v>
      </c>
      <c r="Z42" s="58">
        <f t="shared" si="11"/>
        <v>0</v>
      </c>
      <c r="AA42" s="58">
        <f t="shared" si="11"/>
        <v>0</v>
      </c>
      <c r="AB42" s="58">
        <f t="shared" si="11"/>
        <v>0</v>
      </c>
      <c r="AC42" s="58">
        <f t="shared" si="11"/>
        <v>0</v>
      </c>
      <c r="AD42" s="58">
        <f t="shared" si="11"/>
        <v>0</v>
      </c>
      <c r="AE42" s="58">
        <f t="shared" si="11"/>
        <v>0</v>
      </c>
      <c r="AF42" s="58">
        <f t="shared" si="11"/>
        <v>0</v>
      </c>
      <c r="AG42" s="58">
        <f t="shared" si="11"/>
        <v>0</v>
      </c>
      <c r="AH42" s="58">
        <f t="shared" si="11"/>
        <v>0</v>
      </c>
      <c r="AI42" s="58">
        <f t="shared" si="11"/>
        <v>0</v>
      </c>
      <c r="AJ42" s="58">
        <f t="shared" si="11"/>
        <v>0</v>
      </c>
      <c r="AK42" s="27"/>
      <c r="AL42" s="5"/>
      <c r="AM42" s="5"/>
      <c r="AN42" s="5"/>
      <c r="AO42" s="6"/>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row>
    <row r="43" spans="1:86" x14ac:dyDescent="0.3">
      <c r="A43" s="29" t="str">
        <f>HYPERLINK("#Area_of_Economic_Opportunity", Area_of_Economic_Opportunity)</f>
        <v>Area of Economic Opportunity</v>
      </c>
      <c r="B43" s="27"/>
      <c r="C43" s="59" t="s">
        <v>50</v>
      </c>
      <c r="D43" s="59"/>
      <c r="E43" s="142"/>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27"/>
      <c r="AL43" s="5"/>
      <c r="AM43" s="5"/>
      <c r="AN43" s="5"/>
      <c r="AO43" s="6"/>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row>
    <row r="44" spans="1:86" x14ac:dyDescent="0.3">
      <c r="A44" s="29" t="str">
        <f>HYPERLINK("#Rural_Areas_without_Recent_Housing_Tax_Credit_Awards", Rural_Areas_without_Recent_Housing_Tax_Credit_Awards)</f>
        <v>Rural or Tribal Areas without Recent Housing Tax Credit Awards</v>
      </c>
      <c r="B44" s="27"/>
      <c r="C44" s="41" t="str" cm="1">
        <f t="array" ref="C44:D44">'[1]16. Project Costs'!C45:D45</f>
        <v>Off-Site - Site Work</v>
      </c>
      <c r="D44" s="42">
        <v>0</v>
      </c>
      <c r="E44" s="149">
        <v>0</v>
      </c>
      <c r="F44" s="43">
        <f t="shared" ref="F44:F50" si="12">+E44-SUM(G44:AJ44)</f>
        <v>0</v>
      </c>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27"/>
      <c r="AL44" s="5"/>
      <c r="AM44" s="5"/>
      <c r="AN44" s="5"/>
      <c r="AO44" s="6"/>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row>
    <row r="45" spans="1:86" x14ac:dyDescent="0.3">
      <c r="A45" s="29" t="str">
        <f>HYPERLINK("#Workforce_Housing_Communities", Workforce_Housing_Communities)</f>
        <v>Workforce Housing Communities</v>
      </c>
      <c r="B45" s="27"/>
      <c r="C45" s="41" t="str" cm="1">
        <f t="array" ref="C45:D45">'[1]16. Project Costs'!C46:D46</f>
        <v>On-Site - Site Work</v>
      </c>
      <c r="D45" s="42">
        <v>0</v>
      </c>
      <c r="E45" s="149">
        <v>0</v>
      </c>
      <c r="F45" s="43">
        <f t="shared" si="12"/>
        <v>0</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27"/>
      <c r="AL45" s="5"/>
      <c r="AM45" s="5"/>
      <c r="AN45" s="5"/>
      <c r="AO45" s="6"/>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row>
    <row r="46" spans="1:86" hidden="1" x14ac:dyDescent="0.3">
      <c r="A46" s="29"/>
      <c r="B46" s="27"/>
      <c r="C46" s="60" t="str" cm="1">
        <f t="array" ref="C46:D46">'[1]16. Project Costs'!C47:D47</f>
        <v>Roads / Walks</v>
      </c>
      <c r="D46" s="42">
        <v>0</v>
      </c>
      <c r="E46" s="149">
        <f>Roads_Total</f>
        <v>0</v>
      </c>
      <c r="F46" s="43">
        <f t="shared" si="12"/>
        <v>0</v>
      </c>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27"/>
      <c r="AL46" s="5"/>
      <c r="AM46" s="5"/>
      <c r="AN46" s="5"/>
      <c r="AO46" s="6"/>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row>
    <row r="47" spans="1:86" hidden="1" x14ac:dyDescent="0.3">
      <c r="A47" s="29"/>
      <c r="B47" s="27"/>
      <c r="C47" s="60" t="str" cm="1">
        <f t="array" ref="C47:D47">'[1]16. Project Costs'!C48:D48</f>
        <v>Site Utilities</v>
      </c>
      <c r="D47" s="42">
        <v>0</v>
      </c>
      <c r="E47" s="149">
        <f>Site_Utilities_Total</f>
        <v>0</v>
      </c>
      <c r="F47" s="43">
        <f t="shared" si="12"/>
        <v>0</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27"/>
      <c r="AL47" s="5"/>
      <c r="AM47" s="5"/>
      <c r="AN47" s="5"/>
      <c r="AO47" s="6"/>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row>
    <row r="48" spans="1:86" x14ac:dyDescent="0.3">
      <c r="A48" s="29" t="str">
        <f>HYPERLINK("#Community_Service_Facilities", Community_Service_Facilities)</f>
        <v>Community Service Facilities</v>
      </c>
      <c r="B48" s="27"/>
      <c r="C48" s="41" t="str" cm="1">
        <f t="array" ref="C48:D48">'[1]16. Project Costs'!C49:D49</f>
        <v>Landscaping</v>
      </c>
      <c r="D48" s="42">
        <v>0</v>
      </c>
      <c r="E48" s="149">
        <v>0</v>
      </c>
      <c r="F48" s="43">
        <f t="shared" si="12"/>
        <v>0</v>
      </c>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27"/>
      <c r="AL48" s="5"/>
      <c r="AM48" s="5"/>
      <c r="AN48" s="5"/>
      <c r="AO48" s="6"/>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row>
    <row r="49" spans="1:86" hidden="1" x14ac:dyDescent="0.3">
      <c r="A49" s="63" t="str">
        <f>HYPERLINK("#Serves_Special_Needs", Serves_Special_Needs)</f>
        <v>Serves Special Needs Population</v>
      </c>
      <c r="B49" s="27"/>
      <c r="C49" s="45" t="str" cm="1">
        <f t="array" ref="C49:D49">'[1]16. Project Costs'!C50:D50</f>
        <v>Furnishing and Equipment</v>
      </c>
      <c r="D49" s="46">
        <v>0</v>
      </c>
      <c r="E49" s="138">
        <f>Fixtures_Furn_Total</f>
        <v>0</v>
      </c>
      <c r="F49" s="43">
        <f t="shared" si="12"/>
        <v>0</v>
      </c>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27"/>
      <c r="AL49" s="5"/>
      <c r="AM49" s="5"/>
      <c r="AN49" s="5"/>
      <c r="AO49" s="6"/>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row>
    <row r="50" spans="1:86" hidden="1" x14ac:dyDescent="0.3">
      <c r="A50" s="63"/>
      <c r="B50" s="27"/>
      <c r="C50" s="45" t="str" cm="1">
        <f t="array" ref="C50:D50">'[1]16. Project Costs'!C51:D51</f>
        <v>Unusual Site Conditions</v>
      </c>
      <c r="D50" s="46">
        <v>0</v>
      </c>
      <c r="E50" s="138">
        <f>Unusual_SC_Total</f>
        <v>0</v>
      </c>
      <c r="F50" s="43">
        <f t="shared" si="12"/>
        <v>0</v>
      </c>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27"/>
      <c r="AL50" s="5"/>
      <c r="AM50" s="5"/>
      <c r="AN50" s="5"/>
      <c r="AO50" s="6"/>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row>
    <row r="51" spans="1:86" hidden="1" x14ac:dyDescent="0.3">
      <c r="A51" s="63" t="str">
        <f>HYPERLINK("#Catalyst_for_Revitalization", Catalyst_for_Revitalization)</f>
        <v>Catalyst for Revitalization</v>
      </c>
      <c r="B51" s="27"/>
      <c r="C51" s="45" t="str" cm="1">
        <f t="array" ref="C51:D51">'[1]16. Project Costs'!C52:D52</f>
        <v>Other Site Work</v>
      </c>
      <c r="D51" s="46">
        <v>0</v>
      </c>
      <c r="E51" s="138">
        <f>Other_Site_Work_Total</f>
        <v>0</v>
      </c>
      <c r="F51" s="43"/>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27"/>
      <c r="AL51" s="5"/>
      <c r="AM51" s="5"/>
      <c r="AN51" s="5"/>
      <c r="AO51" s="6"/>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row>
    <row r="52" spans="1:86" x14ac:dyDescent="0.3">
      <c r="A52" s="63" t="str">
        <f>HYPERLINK("#Health_and_the_Built_Environment", Health_and_the_Built_Environment)</f>
        <v>Health and the Built Environment</v>
      </c>
      <c r="B52" s="27"/>
      <c r="C52" s="57" t="s">
        <v>51</v>
      </c>
      <c r="D52" s="57"/>
      <c r="E52" s="151">
        <f>SUM(E44:E51)</f>
        <v>0</v>
      </c>
      <c r="F52" s="58">
        <f>SUM(F44:F51)</f>
        <v>0</v>
      </c>
      <c r="G52" s="58">
        <f t="shared" ref="G52:AJ52" si="13">SUM(G44:G51)</f>
        <v>0</v>
      </c>
      <c r="H52" s="58">
        <f>SUM(H44:H51)</f>
        <v>0</v>
      </c>
      <c r="I52" s="58">
        <f t="shared" si="13"/>
        <v>0</v>
      </c>
      <c r="J52" s="58">
        <f t="shared" si="13"/>
        <v>0</v>
      </c>
      <c r="K52" s="58">
        <f t="shared" si="13"/>
        <v>0</v>
      </c>
      <c r="L52" s="58">
        <f t="shared" si="13"/>
        <v>0</v>
      </c>
      <c r="M52" s="58">
        <f t="shared" si="13"/>
        <v>0</v>
      </c>
      <c r="N52" s="58">
        <f t="shared" si="13"/>
        <v>0</v>
      </c>
      <c r="O52" s="58">
        <f t="shared" si="13"/>
        <v>0</v>
      </c>
      <c r="P52" s="58">
        <f t="shared" si="13"/>
        <v>0</v>
      </c>
      <c r="Q52" s="58">
        <f t="shared" si="13"/>
        <v>0</v>
      </c>
      <c r="R52" s="58">
        <f t="shared" si="13"/>
        <v>0</v>
      </c>
      <c r="S52" s="58">
        <f t="shared" si="13"/>
        <v>0</v>
      </c>
      <c r="T52" s="58">
        <f t="shared" si="13"/>
        <v>0</v>
      </c>
      <c r="U52" s="58">
        <f t="shared" si="13"/>
        <v>0</v>
      </c>
      <c r="V52" s="58">
        <f t="shared" si="13"/>
        <v>0</v>
      </c>
      <c r="W52" s="58">
        <f t="shared" si="13"/>
        <v>0</v>
      </c>
      <c r="X52" s="58">
        <f t="shared" si="13"/>
        <v>0</v>
      </c>
      <c r="Y52" s="58">
        <f t="shared" si="13"/>
        <v>0</v>
      </c>
      <c r="Z52" s="58">
        <f t="shared" si="13"/>
        <v>0</v>
      </c>
      <c r="AA52" s="58">
        <f t="shared" si="13"/>
        <v>0</v>
      </c>
      <c r="AB52" s="58">
        <f t="shared" si="13"/>
        <v>0</v>
      </c>
      <c r="AC52" s="58">
        <f t="shared" si="13"/>
        <v>0</v>
      </c>
      <c r="AD52" s="58">
        <f t="shared" si="13"/>
        <v>0</v>
      </c>
      <c r="AE52" s="58">
        <f t="shared" si="13"/>
        <v>0</v>
      </c>
      <c r="AF52" s="58">
        <f t="shared" si="13"/>
        <v>0</v>
      </c>
      <c r="AG52" s="58">
        <f t="shared" si="13"/>
        <v>0</v>
      </c>
      <c r="AH52" s="58">
        <f t="shared" si="13"/>
        <v>0</v>
      </c>
      <c r="AI52" s="58">
        <f t="shared" si="13"/>
        <v>0</v>
      </c>
      <c r="AJ52" s="58">
        <f t="shared" si="13"/>
        <v>0</v>
      </c>
      <c r="AK52" s="27"/>
      <c r="AL52" s="5"/>
      <c r="AM52" s="5"/>
      <c r="AN52" s="5"/>
      <c r="AO52" s="6"/>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row>
    <row r="53" spans="1:86" x14ac:dyDescent="0.3">
      <c r="A53" s="63" t="str">
        <f>HYPERLINK("#Innovative_Housing_Narrative", Innovative_Housing_Narrative)</f>
        <v>Innovative Housing Narrative</v>
      </c>
      <c r="B53" s="27"/>
      <c r="C53" s="64" t="s">
        <v>52</v>
      </c>
      <c r="D53" s="64"/>
      <c r="E53" s="142"/>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27"/>
      <c r="AL53" s="5"/>
      <c r="AM53" s="5"/>
      <c r="AN53" s="5"/>
      <c r="AO53" s="6"/>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row>
    <row r="54" spans="1:86" x14ac:dyDescent="0.3">
      <c r="A54" s="63" t="str">
        <f>HYPERLINK("#Nonprofit_and_Community_Collaboration", Nonprofit_and_Community_Collaboration)</f>
        <v>Nonprofit Ownership</v>
      </c>
      <c r="B54" s="27"/>
      <c r="C54" s="41" t="str" cm="1">
        <f t="array" ref="C54:D54">'[1]16. Project Costs'!C55:D55</f>
        <v>General Requirements</v>
      </c>
      <c r="D54" s="42">
        <v>0</v>
      </c>
      <c r="E54" s="149">
        <v>0</v>
      </c>
      <c r="F54" s="43">
        <f t="shared" ref="F54:F59" si="14">+E54-SUM(G54:AJ54)</f>
        <v>0</v>
      </c>
      <c r="G54" s="44">
        <f>+G$14*$E54</f>
        <v>0</v>
      </c>
      <c r="H54" s="44">
        <f t="shared" ref="H54:W56" si="15">+H$14*$E54</f>
        <v>0</v>
      </c>
      <c r="I54" s="44">
        <f t="shared" si="15"/>
        <v>0</v>
      </c>
      <c r="J54" s="44">
        <f t="shared" si="15"/>
        <v>0</v>
      </c>
      <c r="K54" s="44">
        <f t="shared" si="15"/>
        <v>0</v>
      </c>
      <c r="L54" s="44">
        <f t="shared" si="15"/>
        <v>0</v>
      </c>
      <c r="M54" s="44">
        <f t="shared" si="15"/>
        <v>0</v>
      </c>
      <c r="N54" s="44">
        <f t="shared" si="15"/>
        <v>0</v>
      </c>
      <c r="O54" s="44">
        <f t="shared" si="15"/>
        <v>0</v>
      </c>
      <c r="P54" s="44">
        <f t="shared" si="15"/>
        <v>0</v>
      </c>
      <c r="Q54" s="44">
        <f t="shared" si="15"/>
        <v>0</v>
      </c>
      <c r="R54" s="44">
        <f t="shared" si="15"/>
        <v>0</v>
      </c>
      <c r="S54" s="44">
        <f t="shared" si="15"/>
        <v>0</v>
      </c>
      <c r="T54" s="44">
        <f t="shared" si="15"/>
        <v>0</v>
      </c>
      <c r="U54" s="44">
        <f t="shared" si="15"/>
        <v>0</v>
      </c>
      <c r="V54" s="44">
        <f t="shared" si="15"/>
        <v>0</v>
      </c>
      <c r="W54" s="44"/>
      <c r="X54" s="44"/>
      <c r="Y54" s="44"/>
      <c r="Z54" s="44"/>
      <c r="AA54" s="44"/>
      <c r="AB54" s="44"/>
      <c r="AC54" s="44"/>
      <c r="AD54" s="44"/>
      <c r="AE54" s="44"/>
      <c r="AF54" s="44"/>
      <c r="AG54" s="44"/>
      <c r="AH54" s="44"/>
      <c r="AI54" s="44"/>
      <c r="AJ54" s="44"/>
      <c r="AK54" s="27"/>
      <c r="AL54" s="5"/>
      <c r="AM54" s="5"/>
      <c r="AN54" s="5"/>
      <c r="AO54" s="6"/>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row>
    <row r="55" spans="1:86" x14ac:dyDescent="0.3">
      <c r="A55" s="29" t="str">
        <f>HYPERLINK("#Application_Threshold", Application_Threshold)</f>
        <v>Application Submission Checklist - Submit with Initial Application Only</v>
      </c>
      <c r="B55" s="27"/>
      <c r="C55" s="41" t="str" cm="1">
        <f t="array" ref="C55:D55">'[1]16. Project Costs'!C56:D56</f>
        <v>Contractor Overhead</v>
      </c>
      <c r="D55" s="42">
        <v>0</v>
      </c>
      <c r="E55" s="149">
        <v>0</v>
      </c>
      <c r="F55" s="43">
        <f t="shared" si="14"/>
        <v>0</v>
      </c>
      <c r="G55" s="44">
        <f t="shared" ref="G55:V59" si="16">+G$14*$E55</f>
        <v>0</v>
      </c>
      <c r="H55" s="44">
        <f t="shared" si="15"/>
        <v>0</v>
      </c>
      <c r="I55" s="44">
        <f t="shared" si="15"/>
        <v>0</v>
      </c>
      <c r="J55" s="44">
        <f t="shared" si="15"/>
        <v>0</v>
      </c>
      <c r="K55" s="44">
        <f t="shared" si="15"/>
        <v>0</v>
      </c>
      <c r="L55" s="44">
        <f t="shared" si="15"/>
        <v>0</v>
      </c>
      <c r="M55" s="44">
        <f t="shared" si="15"/>
        <v>0</v>
      </c>
      <c r="N55" s="44">
        <f t="shared" si="15"/>
        <v>0</v>
      </c>
      <c r="O55" s="44">
        <f t="shared" si="15"/>
        <v>0</v>
      </c>
      <c r="P55" s="44">
        <f t="shared" si="15"/>
        <v>0</v>
      </c>
      <c r="Q55" s="44">
        <f t="shared" si="15"/>
        <v>0</v>
      </c>
      <c r="R55" s="44">
        <f t="shared" si="15"/>
        <v>0</v>
      </c>
      <c r="S55" s="44">
        <f t="shared" si="15"/>
        <v>0</v>
      </c>
      <c r="T55" s="44">
        <f t="shared" si="15"/>
        <v>0</v>
      </c>
      <c r="U55" s="44">
        <f t="shared" si="15"/>
        <v>0</v>
      </c>
      <c r="V55" s="44">
        <f t="shared" si="15"/>
        <v>0</v>
      </c>
      <c r="W55" s="44">
        <f t="shared" si="15"/>
        <v>0</v>
      </c>
      <c r="X55" s="44"/>
      <c r="Y55" s="44"/>
      <c r="Z55" s="44"/>
      <c r="AA55" s="44"/>
      <c r="AB55" s="44"/>
      <c r="AC55" s="44"/>
      <c r="AD55" s="44"/>
      <c r="AE55" s="44"/>
      <c r="AF55" s="44"/>
      <c r="AG55" s="44"/>
      <c r="AH55" s="44"/>
      <c r="AI55" s="44"/>
      <c r="AJ55" s="44"/>
      <c r="AK55" s="27"/>
      <c r="AL55" s="5"/>
      <c r="AM55" s="5"/>
      <c r="AN55" s="5"/>
      <c r="AO55" s="6"/>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row>
    <row r="56" spans="1:86" x14ac:dyDescent="0.3">
      <c r="A56" s="29" t="str">
        <f>HYPERLINK("#Self_Scoring", Self_Scoring)</f>
        <v>Self-Scoring Checklist - Submit with Initial Application Only</v>
      </c>
      <c r="B56" s="27"/>
      <c r="C56" s="41" t="str" cm="1">
        <f t="array" ref="C56:D56">'[1]16. Project Costs'!C57:D57</f>
        <v>Contractor Profit</v>
      </c>
      <c r="D56" s="42">
        <v>0</v>
      </c>
      <c r="E56" s="149">
        <v>0</v>
      </c>
      <c r="F56" s="43">
        <f t="shared" si="14"/>
        <v>0</v>
      </c>
      <c r="G56" s="44">
        <f t="shared" si="16"/>
        <v>0</v>
      </c>
      <c r="H56" s="44">
        <f t="shared" si="15"/>
        <v>0</v>
      </c>
      <c r="I56" s="44">
        <f t="shared" si="15"/>
        <v>0</v>
      </c>
      <c r="J56" s="44">
        <f t="shared" si="15"/>
        <v>0</v>
      </c>
      <c r="K56" s="44">
        <f t="shared" si="15"/>
        <v>0</v>
      </c>
      <c r="L56" s="44">
        <f t="shared" si="15"/>
        <v>0</v>
      </c>
      <c r="M56" s="44">
        <f t="shared" si="15"/>
        <v>0</v>
      </c>
      <c r="N56" s="44">
        <f t="shared" si="15"/>
        <v>0</v>
      </c>
      <c r="O56" s="44">
        <f t="shared" si="15"/>
        <v>0</v>
      </c>
      <c r="P56" s="44">
        <f t="shared" si="15"/>
        <v>0</v>
      </c>
      <c r="Q56" s="44">
        <f t="shared" si="15"/>
        <v>0</v>
      </c>
      <c r="R56" s="44">
        <f t="shared" si="15"/>
        <v>0</v>
      </c>
      <c r="S56" s="44">
        <f t="shared" si="15"/>
        <v>0</v>
      </c>
      <c r="T56" s="44">
        <f t="shared" si="15"/>
        <v>0</v>
      </c>
      <c r="U56" s="44">
        <f t="shared" si="15"/>
        <v>0</v>
      </c>
      <c r="V56" s="44">
        <f t="shared" si="15"/>
        <v>0</v>
      </c>
      <c r="W56" s="44">
        <f t="shared" si="15"/>
        <v>0</v>
      </c>
      <c r="X56" s="44"/>
      <c r="Y56" s="44"/>
      <c r="Z56" s="44"/>
      <c r="AA56" s="44"/>
      <c r="AB56" s="44"/>
      <c r="AC56" s="44"/>
      <c r="AD56" s="44"/>
      <c r="AE56" s="44"/>
      <c r="AF56" s="44"/>
      <c r="AG56" s="44"/>
      <c r="AH56" s="44"/>
      <c r="AI56" s="44"/>
      <c r="AJ56" s="44"/>
      <c r="AK56" s="27"/>
      <c r="AL56" s="5"/>
      <c r="AM56" s="5"/>
      <c r="AN56" s="5"/>
      <c r="AO56" s="6"/>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row>
    <row r="57" spans="1:86" x14ac:dyDescent="0.3">
      <c r="A57" s="29" t="str">
        <f>HYPERLINK("#WHEDA_Loan_Signature_Page", WHEDA_Loan_Signature_Page)</f>
        <v>WHEDA Loan Signature Page</v>
      </c>
      <c r="B57" s="27"/>
      <c r="C57" s="41" t="str" cm="1">
        <f t="array" ref="C57:D57">'[1]16. Project Costs'!C58:D58</f>
        <v>Construction Supervision</v>
      </c>
      <c r="D57" s="42">
        <v>0</v>
      </c>
      <c r="E57" s="149">
        <v>0</v>
      </c>
      <c r="F57" s="43">
        <f t="shared" si="14"/>
        <v>0</v>
      </c>
      <c r="G57" s="44">
        <f t="shared" si="16"/>
        <v>0</v>
      </c>
      <c r="H57" s="44">
        <f t="shared" si="16"/>
        <v>0</v>
      </c>
      <c r="I57" s="44">
        <f t="shared" si="16"/>
        <v>0</v>
      </c>
      <c r="J57" s="44">
        <f t="shared" si="16"/>
        <v>0</v>
      </c>
      <c r="K57" s="44">
        <f t="shared" si="16"/>
        <v>0</v>
      </c>
      <c r="L57" s="44">
        <f t="shared" si="16"/>
        <v>0</v>
      </c>
      <c r="M57" s="44">
        <f t="shared" si="16"/>
        <v>0</v>
      </c>
      <c r="N57" s="44">
        <f t="shared" si="16"/>
        <v>0</v>
      </c>
      <c r="O57" s="44">
        <f t="shared" si="16"/>
        <v>0</v>
      </c>
      <c r="P57" s="44">
        <f t="shared" si="16"/>
        <v>0</v>
      </c>
      <c r="Q57" s="44">
        <f t="shared" si="16"/>
        <v>0</v>
      </c>
      <c r="R57" s="44">
        <f t="shared" si="16"/>
        <v>0</v>
      </c>
      <c r="S57" s="44">
        <f t="shared" si="16"/>
        <v>0</v>
      </c>
      <c r="T57" s="44">
        <f t="shared" si="16"/>
        <v>0</v>
      </c>
      <c r="U57" s="44">
        <f t="shared" si="16"/>
        <v>0</v>
      </c>
      <c r="V57" s="44">
        <f t="shared" si="16"/>
        <v>0</v>
      </c>
      <c r="W57" s="44"/>
      <c r="X57" s="44"/>
      <c r="Y57" s="44"/>
      <c r="Z57" s="44"/>
      <c r="AA57" s="44"/>
      <c r="AB57" s="44"/>
      <c r="AC57" s="44"/>
      <c r="AD57" s="44"/>
      <c r="AE57" s="44"/>
      <c r="AF57" s="44"/>
      <c r="AG57" s="44"/>
      <c r="AH57" s="44"/>
      <c r="AI57" s="44"/>
      <c r="AJ57" s="44"/>
      <c r="AK57" s="27"/>
      <c r="AL57" s="5"/>
      <c r="AM57" s="5"/>
      <c r="AN57" s="5"/>
      <c r="AO57" s="6"/>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row>
    <row r="58" spans="1:86" x14ac:dyDescent="0.3">
      <c r="A58" s="29"/>
      <c r="B58" s="27"/>
      <c r="C58" s="45" t="s">
        <v>53</v>
      </c>
      <c r="D58" s="45"/>
      <c r="E58" s="149">
        <v>0</v>
      </c>
      <c r="F58" s="43">
        <f t="shared" si="14"/>
        <v>0</v>
      </c>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27"/>
      <c r="AL58" s="5"/>
      <c r="AM58" s="5"/>
      <c r="AN58" s="5"/>
      <c r="AO58" s="6"/>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row>
    <row r="59" spans="1:86" x14ac:dyDescent="0.3">
      <c r="A59" s="29"/>
      <c r="B59" s="27"/>
      <c r="C59" s="45" t="s">
        <v>54</v>
      </c>
      <c r="D59" s="45"/>
      <c r="E59" s="149">
        <v>0</v>
      </c>
      <c r="F59" s="43">
        <f t="shared" si="14"/>
        <v>0</v>
      </c>
      <c r="G59" s="44">
        <f t="shared" si="16"/>
        <v>0</v>
      </c>
      <c r="H59" s="44">
        <f t="shared" si="16"/>
        <v>0</v>
      </c>
      <c r="I59" s="44">
        <f t="shared" si="16"/>
        <v>0</v>
      </c>
      <c r="J59" s="44">
        <f t="shared" si="16"/>
        <v>0</v>
      </c>
      <c r="K59" s="44">
        <f t="shared" si="16"/>
        <v>0</v>
      </c>
      <c r="L59" s="44">
        <f t="shared" si="16"/>
        <v>0</v>
      </c>
      <c r="M59" s="44">
        <f t="shared" si="16"/>
        <v>0</v>
      </c>
      <c r="N59" s="44">
        <f t="shared" si="16"/>
        <v>0</v>
      </c>
      <c r="O59" s="44">
        <f t="shared" si="16"/>
        <v>0</v>
      </c>
      <c r="P59" s="44">
        <f t="shared" si="16"/>
        <v>0</v>
      </c>
      <c r="Q59" s="44">
        <f t="shared" si="16"/>
        <v>0</v>
      </c>
      <c r="R59" s="44">
        <f t="shared" si="16"/>
        <v>0</v>
      </c>
      <c r="S59" s="44">
        <f t="shared" si="16"/>
        <v>0</v>
      </c>
      <c r="T59" s="44">
        <f t="shared" si="16"/>
        <v>0</v>
      </c>
      <c r="U59" s="44">
        <f t="shared" si="16"/>
        <v>0</v>
      </c>
      <c r="V59" s="44">
        <f t="shared" si="16"/>
        <v>0</v>
      </c>
      <c r="W59" s="44">
        <f t="shared" ref="W59:Y59" si="17">+W$14*$E59</f>
        <v>0</v>
      </c>
      <c r="X59" s="44">
        <f t="shared" si="17"/>
        <v>0</v>
      </c>
      <c r="Y59" s="44">
        <f t="shared" si="17"/>
        <v>0</v>
      </c>
      <c r="Z59" s="44"/>
      <c r="AA59" s="44"/>
      <c r="AB59" s="44"/>
      <c r="AC59" s="44"/>
      <c r="AD59" s="44"/>
      <c r="AE59" s="44"/>
      <c r="AF59" s="44"/>
      <c r="AG59" s="44"/>
      <c r="AH59" s="44"/>
      <c r="AI59" s="44"/>
      <c r="AJ59" s="44"/>
      <c r="AK59" s="27"/>
      <c r="AL59" s="5"/>
      <c r="AM59" s="5"/>
      <c r="AN59" s="5"/>
      <c r="AO59" s="6"/>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row>
    <row r="60" spans="1:86" x14ac:dyDescent="0.3">
      <c r="A60" s="29" t="str">
        <f>HYPERLINK("#Tax_Credit_Signature_Page", Tax_Credit_Signature_Page)</f>
        <v>Tax Credit Signature Page</v>
      </c>
      <c r="B60" s="27"/>
      <c r="C60" s="57" t="s">
        <v>55</v>
      </c>
      <c r="D60" s="57"/>
      <c r="E60" s="151">
        <f>SUM(E54:E59)</f>
        <v>0</v>
      </c>
      <c r="F60" s="58">
        <f>SUM(F54:F59)</f>
        <v>0</v>
      </c>
      <c r="G60" s="58">
        <f t="shared" ref="G60:AJ60" si="18">SUM(G54:G59)</f>
        <v>0</v>
      </c>
      <c r="H60" s="58">
        <f t="shared" si="18"/>
        <v>0</v>
      </c>
      <c r="I60" s="58">
        <f t="shared" si="18"/>
        <v>0</v>
      </c>
      <c r="J60" s="58">
        <f t="shared" si="18"/>
        <v>0</v>
      </c>
      <c r="K60" s="58">
        <f t="shared" si="18"/>
        <v>0</v>
      </c>
      <c r="L60" s="58">
        <f t="shared" si="18"/>
        <v>0</v>
      </c>
      <c r="M60" s="58">
        <f t="shared" si="18"/>
        <v>0</v>
      </c>
      <c r="N60" s="58">
        <f t="shared" si="18"/>
        <v>0</v>
      </c>
      <c r="O60" s="58">
        <f t="shared" si="18"/>
        <v>0</v>
      </c>
      <c r="P60" s="58">
        <f t="shared" si="18"/>
        <v>0</v>
      </c>
      <c r="Q60" s="58">
        <f t="shared" si="18"/>
        <v>0</v>
      </c>
      <c r="R60" s="58">
        <f t="shared" si="18"/>
        <v>0</v>
      </c>
      <c r="S60" s="58">
        <f t="shared" si="18"/>
        <v>0</v>
      </c>
      <c r="T60" s="58">
        <f t="shared" si="18"/>
        <v>0</v>
      </c>
      <c r="U60" s="58">
        <f t="shared" si="18"/>
        <v>0</v>
      </c>
      <c r="V60" s="58">
        <f t="shared" si="18"/>
        <v>0</v>
      </c>
      <c r="W60" s="58">
        <f t="shared" si="18"/>
        <v>0</v>
      </c>
      <c r="X60" s="58">
        <f t="shared" si="18"/>
        <v>0</v>
      </c>
      <c r="Y60" s="58">
        <f t="shared" si="18"/>
        <v>0</v>
      </c>
      <c r="Z60" s="58">
        <f t="shared" si="18"/>
        <v>0</v>
      </c>
      <c r="AA60" s="58">
        <f t="shared" si="18"/>
        <v>0</v>
      </c>
      <c r="AB60" s="58">
        <f t="shared" si="18"/>
        <v>0</v>
      </c>
      <c r="AC60" s="58">
        <f t="shared" si="18"/>
        <v>0</v>
      </c>
      <c r="AD60" s="58">
        <f t="shared" si="18"/>
        <v>0</v>
      </c>
      <c r="AE60" s="58">
        <f t="shared" si="18"/>
        <v>0</v>
      </c>
      <c r="AF60" s="58">
        <f t="shared" si="18"/>
        <v>0</v>
      </c>
      <c r="AG60" s="58">
        <f t="shared" si="18"/>
        <v>0</v>
      </c>
      <c r="AH60" s="58">
        <f t="shared" si="18"/>
        <v>0</v>
      </c>
      <c r="AI60" s="58">
        <f t="shared" si="18"/>
        <v>0</v>
      </c>
      <c r="AJ60" s="58">
        <f t="shared" si="18"/>
        <v>0</v>
      </c>
      <c r="AK60" s="27"/>
      <c r="AL60" s="5"/>
      <c r="AM60" s="5"/>
      <c r="AN60" s="5"/>
      <c r="AO60" s="6"/>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row>
    <row r="61" spans="1:86" x14ac:dyDescent="0.3">
      <c r="A61" s="1"/>
      <c r="B61" s="27"/>
      <c r="C61" s="50" t="s">
        <v>56</v>
      </c>
      <c r="D61" s="50"/>
      <c r="E61" s="150">
        <f>E34+E42+E52+E60</f>
        <v>0</v>
      </c>
      <c r="F61" s="52">
        <f t="shared" ref="F61:AJ61" si="19">+F60+F52+F42+F34</f>
        <v>0</v>
      </c>
      <c r="G61" s="52">
        <f t="shared" si="19"/>
        <v>0</v>
      </c>
      <c r="H61" s="52">
        <f t="shared" si="19"/>
        <v>0</v>
      </c>
      <c r="I61" s="52">
        <f t="shared" si="19"/>
        <v>0</v>
      </c>
      <c r="J61" s="52">
        <f t="shared" si="19"/>
        <v>0</v>
      </c>
      <c r="K61" s="52">
        <f t="shared" si="19"/>
        <v>0</v>
      </c>
      <c r="L61" s="52">
        <f t="shared" si="19"/>
        <v>0</v>
      </c>
      <c r="M61" s="52">
        <f t="shared" si="19"/>
        <v>0</v>
      </c>
      <c r="N61" s="52">
        <f t="shared" si="19"/>
        <v>0</v>
      </c>
      <c r="O61" s="52">
        <f t="shared" si="19"/>
        <v>0</v>
      </c>
      <c r="P61" s="52">
        <f t="shared" si="19"/>
        <v>0</v>
      </c>
      <c r="Q61" s="52">
        <f t="shared" si="19"/>
        <v>0</v>
      </c>
      <c r="R61" s="52">
        <f t="shared" si="19"/>
        <v>0</v>
      </c>
      <c r="S61" s="52">
        <f t="shared" si="19"/>
        <v>0</v>
      </c>
      <c r="T61" s="52">
        <f t="shared" si="19"/>
        <v>0</v>
      </c>
      <c r="U61" s="52">
        <f t="shared" si="19"/>
        <v>0</v>
      </c>
      <c r="V61" s="52">
        <f t="shared" si="19"/>
        <v>0</v>
      </c>
      <c r="W61" s="52">
        <f t="shared" si="19"/>
        <v>0</v>
      </c>
      <c r="X61" s="52">
        <f t="shared" si="19"/>
        <v>0</v>
      </c>
      <c r="Y61" s="52">
        <f t="shared" si="19"/>
        <v>0</v>
      </c>
      <c r="Z61" s="52">
        <f t="shared" si="19"/>
        <v>0</v>
      </c>
      <c r="AA61" s="52">
        <f t="shared" si="19"/>
        <v>0</v>
      </c>
      <c r="AB61" s="52">
        <f t="shared" si="19"/>
        <v>0</v>
      </c>
      <c r="AC61" s="52">
        <f t="shared" si="19"/>
        <v>0</v>
      </c>
      <c r="AD61" s="52">
        <f t="shared" si="19"/>
        <v>0</v>
      </c>
      <c r="AE61" s="52">
        <f t="shared" si="19"/>
        <v>0</v>
      </c>
      <c r="AF61" s="52">
        <f t="shared" si="19"/>
        <v>0</v>
      </c>
      <c r="AG61" s="52">
        <f t="shared" si="19"/>
        <v>0</v>
      </c>
      <c r="AH61" s="52">
        <f t="shared" si="19"/>
        <v>0</v>
      </c>
      <c r="AI61" s="52">
        <f t="shared" si="19"/>
        <v>0</v>
      </c>
      <c r="AJ61" s="52">
        <f t="shared" si="19"/>
        <v>0</v>
      </c>
      <c r="AK61" s="27"/>
      <c r="AL61" s="5"/>
      <c r="AM61" s="5"/>
      <c r="AN61" s="5"/>
      <c r="AO61" s="6"/>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row>
    <row r="62" spans="1:86" ht="15.6" x14ac:dyDescent="0.3">
      <c r="A62" s="1"/>
      <c r="B62" s="27"/>
      <c r="C62" s="53" t="s">
        <v>57</v>
      </c>
      <c r="D62" s="53"/>
      <c r="E62" s="14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27"/>
      <c r="AL62" s="5"/>
      <c r="AM62" s="5"/>
      <c r="AN62" s="5"/>
      <c r="AO62" s="6"/>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row>
    <row r="63" spans="1:86" x14ac:dyDescent="0.3">
      <c r="A63" s="1"/>
      <c r="B63" s="27"/>
      <c r="C63" s="60" t="str" cm="1">
        <f t="array" ref="C63:D63">'[1]16. Project Costs'!C64:D64</f>
        <v>Construction Contingency</v>
      </c>
      <c r="D63" s="42">
        <v>0</v>
      </c>
      <c r="E63" s="149">
        <v>0</v>
      </c>
      <c r="F63" s="43">
        <f t="shared" ref="F63:F64" si="20">+E63-SUM(G63:AJ63)</f>
        <v>0</v>
      </c>
      <c r="G63" s="44">
        <f t="shared" ref="G63:V64" si="21">+G$14*$E63</f>
        <v>0</v>
      </c>
      <c r="H63" s="44">
        <f t="shared" si="21"/>
        <v>0</v>
      </c>
      <c r="I63" s="44">
        <f t="shared" si="21"/>
        <v>0</v>
      </c>
      <c r="J63" s="44">
        <f t="shared" si="21"/>
        <v>0</v>
      </c>
      <c r="K63" s="44">
        <f t="shared" si="21"/>
        <v>0</v>
      </c>
      <c r="L63" s="44">
        <f t="shared" si="21"/>
        <v>0</v>
      </c>
      <c r="M63" s="44">
        <f t="shared" si="21"/>
        <v>0</v>
      </c>
      <c r="N63" s="44">
        <f t="shared" si="21"/>
        <v>0</v>
      </c>
      <c r="O63" s="44">
        <f t="shared" si="21"/>
        <v>0</v>
      </c>
      <c r="P63" s="44">
        <f t="shared" si="21"/>
        <v>0</v>
      </c>
      <c r="Q63" s="44">
        <f t="shared" si="21"/>
        <v>0</v>
      </c>
      <c r="R63" s="44">
        <f t="shared" si="21"/>
        <v>0</v>
      </c>
      <c r="S63" s="44">
        <f t="shared" si="21"/>
        <v>0</v>
      </c>
      <c r="T63" s="44">
        <f t="shared" si="21"/>
        <v>0</v>
      </c>
      <c r="U63" s="44">
        <f t="shared" si="21"/>
        <v>0</v>
      </c>
      <c r="V63" s="44">
        <f t="shared" si="21"/>
        <v>0</v>
      </c>
      <c r="W63" s="44"/>
      <c r="X63" s="44"/>
      <c r="Y63" s="44"/>
      <c r="Z63" s="44"/>
      <c r="AA63" s="44"/>
      <c r="AB63" s="44"/>
      <c r="AC63" s="44"/>
      <c r="AD63" s="44"/>
      <c r="AE63" s="44"/>
      <c r="AF63" s="44"/>
      <c r="AG63" s="44"/>
      <c r="AH63" s="44"/>
      <c r="AI63" s="44"/>
      <c r="AJ63" s="44"/>
      <c r="AK63" s="27"/>
      <c r="AL63" s="5"/>
      <c r="AM63" s="5"/>
      <c r="AN63" s="5"/>
      <c r="AO63" s="6"/>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row>
    <row r="64" spans="1:86" x14ac:dyDescent="0.3">
      <c r="A64" s="1"/>
      <c r="B64" s="27"/>
      <c r="C64" s="45" t="str" cm="1">
        <f t="array" ref="C64:D64">'[1]16. Project Costs'!C65:D65</f>
        <v>Other Contingency</v>
      </c>
      <c r="D64" s="46">
        <v>0</v>
      </c>
      <c r="E64" s="149">
        <v>0</v>
      </c>
      <c r="F64" s="43">
        <f t="shared" si="20"/>
        <v>0</v>
      </c>
      <c r="G64" s="44">
        <f t="shared" si="21"/>
        <v>0</v>
      </c>
      <c r="H64" s="44">
        <f t="shared" si="21"/>
        <v>0</v>
      </c>
      <c r="I64" s="44">
        <f t="shared" si="21"/>
        <v>0</v>
      </c>
      <c r="J64" s="44">
        <f t="shared" si="21"/>
        <v>0</v>
      </c>
      <c r="K64" s="44">
        <f t="shared" si="21"/>
        <v>0</v>
      </c>
      <c r="L64" s="44">
        <f t="shared" si="21"/>
        <v>0</v>
      </c>
      <c r="M64" s="44">
        <f t="shared" si="21"/>
        <v>0</v>
      </c>
      <c r="N64" s="44">
        <f t="shared" si="21"/>
        <v>0</v>
      </c>
      <c r="O64" s="44">
        <f t="shared" si="21"/>
        <v>0</v>
      </c>
      <c r="P64" s="44">
        <f t="shared" si="21"/>
        <v>0</v>
      </c>
      <c r="Q64" s="44">
        <f t="shared" si="21"/>
        <v>0</v>
      </c>
      <c r="R64" s="44">
        <f t="shared" si="21"/>
        <v>0</v>
      </c>
      <c r="S64" s="44">
        <f t="shared" si="21"/>
        <v>0</v>
      </c>
      <c r="T64" s="44">
        <f t="shared" si="21"/>
        <v>0</v>
      </c>
      <c r="U64" s="44">
        <f t="shared" si="21"/>
        <v>0</v>
      </c>
      <c r="V64" s="44">
        <f t="shared" si="21"/>
        <v>0</v>
      </c>
      <c r="W64" s="44">
        <f t="shared" ref="W64" si="22">+W$14*$E64</f>
        <v>0</v>
      </c>
      <c r="X64" s="44"/>
      <c r="Y64" s="44"/>
      <c r="Z64" s="44"/>
      <c r="AA64" s="44"/>
      <c r="AB64" s="44"/>
      <c r="AC64" s="44"/>
      <c r="AD64" s="44"/>
      <c r="AE64" s="44"/>
      <c r="AF64" s="44"/>
      <c r="AG64" s="44"/>
      <c r="AH64" s="44"/>
      <c r="AI64" s="44"/>
      <c r="AJ64" s="44"/>
      <c r="AK64" s="27"/>
      <c r="AL64" s="5"/>
      <c r="AM64" s="5"/>
      <c r="AN64" s="5"/>
      <c r="AO64" s="6"/>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row>
    <row r="65" spans="1:86" x14ac:dyDescent="0.3">
      <c r="A65" s="1"/>
      <c r="B65" s="27"/>
      <c r="C65" s="50" t="s">
        <v>58</v>
      </c>
      <c r="D65" s="50"/>
      <c r="E65" s="51">
        <f>+E64+E63</f>
        <v>0</v>
      </c>
      <c r="F65" s="52">
        <f>+F64+F63</f>
        <v>0</v>
      </c>
      <c r="G65" s="52">
        <f t="shared" ref="G65:AJ65" si="23">+G64+G63</f>
        <v>0</v>
      </c>
      <c r="H65" s="52">
        <f t="shared" si="23"/>
        <v>0</v>
      </c>
      <c r="I65" s="52">
        <f t="shared" si="23"/>
        <v>0</v>
      </c>
      <c r="J65" s="52">
        <f t="shared" si="23"/>
        <v>0</v>
      </c>
      <c r="K65" s="52">
        <f t="shared" si="23"/>
        <v>0</v>
      </c>
      <c r="L65" s="52">
        <f t="shared" si="23"/>
        <v>0</v>
      </c>
      <c r="M65" s="52">
        <f t="shared" si="23"/>
        <v>0</v>
      </c>
      <c r="N65" s="52">
        <f t="shared" si="23"/>
        <v>0</v>
      </c>
      <c r="O65" s="52">
        <f t="shared" si="23"/>
        <v>0</v>
      </c>
      <c r="P65" s="52">
        <f t="shared" si="23"/>
        <v>0</v>
      </c>
      <c r="Q65" s="52">
        <f t="shared" si="23"/>
        <v>0</v>
      </c>
      <c r="R65" s="52">
        <f t="shared" si="23"/>
        <v>0</v>
      </c>
      <c r="S65" s="52">
        <f t="shared" si="23"/>
        <v>0</v>
      </c>
      <c r="T65" s="52">
        <f t="shared" si="23"/>
        <v>0</v>
      </c>
      <c r="U65" s="52">
        <f t="shared" si="23"/>
        <v>0</v>
      </c>
      <c r="V65" s="52">
        <f t="shared" si="23"/>
        <v>0</v>
      </c>
      <c r="W65" s="52">
        <f t="shared" si="23"/>
        <v>0</v>
      </c>
      <c r="X65" s="52">
        <f t="shared" si="23"/>
        <v>0</v>
      </c>
      <c r="Y65" s="52">
        <f t="shared" si="23"/>
        <v>0</v>
      </c>
      <c r="Z65" s="52">
        <f t="shared" si="23"/>
        <v>0</v>
      </c>
      <c r="AA65" s="52">
        <f t="shared" si="23"/>
        <v>0</v>
      </c>
      <c r="AB65" s="52">
        <f t="shared" si="23"/>
        <v>0</v>
      </c>
      <c r="AC65" s="52">
        <f t="shared" si="23"/>
        <v>0</v>
      </c>
      <c r="AD65" s="52">
        <f t="shared" si="23"/>
        <v>0</v>
      </c>
      <c r="AE65" s="52">
        <f t="shared" si="23"/>
        <v>0</v>
      </c>
      <c r="AF65" s="52">
        <f t="shared" si="23"/>
        <v>0</v>
      </c>
      <c r="AG65" s="52">
        <f t="shared" si="23"/>
        <v>0</v>
      </c>
      <c r="AH65" s="52">
        <f t="shared" si="23"/>
        <v>0</v>
      </c>
      <c r="AI65" s="52">
        <f t="shared" si="23"/>
        <v>0</v>
      </c>
      <c r="AJ65" s="52">
        <f t="shared" si="23"/>
        <v>0</v>
      </c>
      <c r="AK65" s="27"/>
      <c r="AL65" s="5"/>
      <c r="AM65" s="5"/>
      <c r="AN65" s="5"/>
      <c r="AO65" s="6"/>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row>
    <row r="66" spans="1:86" ht="15.6" x14ac:dyDescent="0.3">
      <c r="A66" s="1"/>
      <c r="B66" s="27"/>
      <c r="C66" s="53" t="s">
        <v>59</v>
      </c>
      <c r="D66" s="53"/>
      <c r="E66" s="146"/>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27"/>
      <c r="AL66" s="5"/>
      <c r="AM66" s="5"/>
      <c r="AN66" s="5"/>
      <c r="AO66" s="6"/>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row>
    <row r="67" spans="1:86" x14ac:dyDescent="0.3">
      <c r="A67" s="1"/>
      <c r="B67" s="27"/>
      <c r="C67" s="55" t="s">
        <v>60</v>
      </c>
      <c r="D67" s="55"/>
      <c r="E67" s="147"/>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27"/>
      <c r="AL67" s="5"/>
      <c r="AM67" s="5"/>
      <c r="AN67" s="5"/>
      <c r="AO67" s="6"/>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row>
    <row r="68" spans="1:86" hidden="1" x14ac:dyDescent="0.3">
      <c r="A68" s="1"/>
      <c r="B68" s="27"/>
      <c r="C68" s="41" t="str" cm="1">
        <f t="array" ref="C68:D68">'[1]16. Project Costs'!C69:D69</f>
        <v>WHEDA Application Fees (incl. T/E Ap Fee)</v>
      </c>
      <c r="D68" s="41">
        <v>0</v>
      </c>
      <c r="E68" s="138">
        <f>WHEDA_App_Fees_Total</f>
        <v>0</v>
      </c>
      <c r="F68" s="43">
        <f t="shared" ref="F68:F74" si="24">+E68-SUM(G68:AJ68)</f>
        <v>0</v>
      </c>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27"/>
      <c r="AL68" s="5"/>
      <c r="AM68" s="5"/>
      <c r="AN68" s="5"/>
      <c r="AO68" s="6"/>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row>
    <row r="69" spans="1:86" hidden="1" x14ac:dyDescent="0.3">
      <c r="A69" s="1"/>
      <c r="B69" s="27"/>
      <c r="C69" s="41" t="str" cm="1">
        <f t="array" ref="C69:D69">'[1]16. Project Costs'!C70:D70</f>
        <v>T/E Bond Allocation/Reservation Fees</v>
      </c>
      <c r="D69" s="41">
        <v>0</v>
      </c>
      <c r="E69" s="138">
        <f>TE_Bond_Alloc_Total</f>
        <v>0</v>
      </c>
      <c r="F69" s="43">
        <f t="shared" si="24"/>
        <v>0</v>
      </c>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27"/>
      <c r="AL69" s="5"/>
      <c r="AM69" s="5"/>
      <c r="AN69" s="5"/>
      <c r="AO69" s="6"/>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row>
    <row r="70" spans="1:86" x14ac:dyDescent="0.3">
      <c r="A70" s="1"/>
      <c r="B70" s="27"/>
      <c r="C70" s="41" t="str" cm="1">
        <f t="array" ref="C70:D70">'[1]16. Project Costs'!C71:D71</f>
        <v>Construction Loan Origination Fee - WHEDA</v>
      </c>
      <c r="D70" s="42">
        <v>0</v>
      </c>
      <c r="E70" s="149">
        <v>0</v>
      </c>
      <c r="F70" s="43">
        <f t="shared" si="24"/>
        <v>0</v>
      </c>
      <c r="G70" s="44">
        <f>+E70</f>
        <v>0</v>
      </c>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27"/>
      <c r="AL70" s="5"/>
      <c r="AM70" s="5"/>
      <c r="AN70" s="5"/>
      <c r="AO70" s="6"/>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row>
    <row r="71" spans="1:86" x14ac:dyDescent="0.3">
      <c r="A71" s="1"/>
      <c r="B71" s="27"/>
      <c r="C71" s="41" t="str" cm="1">
        <f t="array" ref="C71:D71">'[1]16. Project Costs'!C72:D72</f>
        <v>Construction Loan Origination Fee - Non WHEDA</v>
      </c>
      <c r="D71" s="42">
        <v>0</v>
      </c>
      <c r="E71" s="149">
        <v>0</v>
      </c>
      <c r="F71" s="43">
        <f t="shared" si="24"/>
        <v>0</v>
      </c>
      <c r="G71" s="44">
        <f>+E71</f>
        <v>0</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27"/>
      <c r="AL71" s="5"/>
      <c r="AM71" s="5"/>
      <c r="AN71" s="5"/>
      <c r="AO71" s="6"/>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row>
    <row r="72" spans="1:86" hidden="1" x14ac:dyDescent="0.3">
      <c r="A72" s="1"/>
      <c r="B72" s="27"/>
      <c r="C72" s="41" t="str" cm="1">
        <f t="array" ref="C72:D72">'[1]16. Project Costs'!C73:D73</f>
        <v>WHEDA Legal/Structuring Fees</v>
      </c>
      <c r="D72" s="41">
        <v>0</v>
      </c>
      <c r="E72" s="138">
        <f>WHEDA_Legal_Total</f>
        <v>0</v>
      </c>
      <c r="F72" s="43">
        <f t="shared" si="24"/>
        <v>0</v>
      </c>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27"/>
      <c r="AL72" s="5"/>
      <c r="AM72" s="5"/>
      <c r="AN72" s="5"/>
      <c r="AO72" s="6"/>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row>
    <row r="73" spans="1:86" hidden="1" x14ac:dyDescent="0.3">
      <c r="A73" s="1"/>
      <c r="B73" s="27"/>
      <c r="C73" s="41" t="str" cm="1">
        <f t="array" ref="C73:D73">'[1]16. Project Costs'!C74:D74</f>
        <v>WHEDA Construction Inspection Fees</v>
      </c>
      <c r="D73" s="41">
        <v>0</v>
      </c>
      <c r="E73" s="138">
        <f>WHEDA_Constr_Inspect_Total</f>
        <v>0</v>
      </c>
      <c r="F73" s="43">
        <f t="shared" si="24"/>
        <v>0</v>
      </c>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27"/>
      <c r="AL73" s="5"/>
      <c r="AM73" s="5"/>
      <c r="AN73" s="5"/>
      <c r="AO73" s="6"/>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row>
    <row r="74" spans="1:86" hidden="1" x14ac:dyDescent="0.3">
      <c r="A74" s="1"/>
      <c r="B74" s="27"/>
      <c r="C74" s="45" t="str" cm="1">
        <f t="array" ref="C74:D74">'[1]16. Project Costs'!C75:D75</f>
        <v>Other Fees and Expenses</v>
      </c>
      <c r="D74" s="45">
        <v>0</v>
      </c>
      <c r="E74" s="138">
        <f>Other_Fees_Total</f>
        <v>0</v>
      </c>
      <c r="F74" s="43">
        <f t="shared" si="24"/>
        <v>0</v>
      </c>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27"/>
      <c r="AL74" s="5"/>
      <c r="AM74" s="5"/>
      <c r="AN74" s="5"/>
      <c r="AO74" s="6"/>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row>
    <row r="75" spans="1:86" x14ac:dyDescent="0.3">
      <c r="A75" s="1"/>
      <c r="B75" s="27"/>
      <c r="C75" s="57" t="s">
        <v>61</v>
      </c>
      <c r="D75" s="57"/>
      <c r="E75" s="151">
        <f>SUM(E68:E74)</f>
        <v>0</v>
      </c>
      <c r="F75" s="66">
        <f>SUM(F68:F74)</f>
        <v>0</v>
      </c>
      <c r="G75" s="66">
        <f t="shared" ref="G75:AJ75" si="25">SUM(G68:G74)</f>
        <v>0</v>
      </c>
      <c r="H75" s="66">
        <f t="shared" si="25"/>
        <v>0</v>
      </c>
      <c r="I75" s="66">
        <f t="shared" si="25"/>
        <v>0</v>
      </c>
      <c r="J75" s="66">
        <f t="shared" si="25"/>
        <v>0</v>
      </c>
      <c r="K75" s="66">
        <f t="shared" si="25"/>
        <v>0</v>
      </c>
      <c r="L75" s="66">
        <f t="shared" si="25"/>
        <v>0</v>
      </c>
      <c r="M75" s="66">
        <f t="shared" si="25"/>
        <v>0</v>
      </c>
      <c r="N75" s="66">
        <f t="shared" si="25"/>
        <v>0</v>
      </c>
      <c r="O75" s="66">
        <f t="shared" si="25"/>
        <v>0</v>
      </c>
      <c r="P75" s="66">
        <f t="shared" si="25"/>
        <v>0</v>
      </c>
      <c r="Q75" s="66">
        <f t="shared" si="25"/>
        <v>0</v>
      </c>
      <c r="R75" s="66">
        <f t="shared" si="25"/>
        <v>0</v>
      </c>
      <c r="S75" s="66">
        <f t="shared" si="25"/>
        <v>0</v>
      </c>
      <c r="T75" s="66">
        <f t="shared" si="25"/>
        <v>0</v>
      </c>
      <c r="U75" s="66">
        <f t="shared" si="25"/>
        <v>0</v>
      </c>
      <c r="V75" s="66">
        <f t="shared" si="25"/>
        <v>0</v>
      </c>
      <c r="W75" s="66">
        <f t="shared" si="25"/>
        <v>0</v>
      </c>
      <c r="X75" s="66">
        <f t="shared" si="25"/>
        <v>0</v>
      </c>
      <c r="Y75" s="66">
        <f t="shared" si="25"/>
        <v>0</v>
      </c>
      <c r="Z75" s="66">
        <f t="shared" si="25"/>
        <v>0</v>
      </c>
      <c r="AA75" s="66">
        <f t="shared" si="25"/>
        <v>0</v>
      </c>
      <c r="AB75" s="66">
        <f t="shared" si="25"/>
        <v>0</v>
      </c>
      <c r="AC75" s="66">
        <f t="shared" si="25"/>
        <v>0</v>
      </c>
      <c r="AD75" s="66">
        <f t="shared" si="25"/>
        <v>0</v>
      </c>
      <c r="AE75" s="66">
        <f t="shared" si="25"/>
        <v>0</v>
      </c>
      <c r="AF75" s="66">
        <f t="shared" si="25"/>
        <v>0</v>
      </c>
      <c r="AG75" s="66">
        <f t="shared" si="25"/>
        <v>0</v>
      </c>
      <c r="AH75" s="66">
        <f t="shared" si="25"/>
        <v>0</v>
      </c>
      <c r="AI75" s="66">
        <f t="shared" si="25"/>
        <v>0</v>
      </c>
      <c r="AJ75" s="66">
        <f t="shared" si="25"/>
        <v>0</v>
      </c>
      <c r="AK75" s="27"/>
      <c r="AL75" s="5"/>
      <c r="AM75" s="5"/>
      <c r="AN75" s="5"/>
      <c r="AO75" s="6"/>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row>
    <row r="76" spans="1:86" x14ac:dyDescent="0.3">
      <c r="A76" s="1"/>
      <c r="B76" s="27"/>
      <c r="C76" s="67" t="s">
        <v>62</v>
      </c>
      <c r="D76" s="67"/>
      <c r="E76" s="148"/>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27"/>
      <c r="AL76" s="5"/>
      <c r="AM76" s="5"/>
      <c r="AN76" s="5"/>
      <c r="AO76" s="6"/>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row>
    <row r="77" spans="1:86" x14ac:dyDescent="0.3">
      <c r="A77" s="1"/>
      <c r="B77" s="27"/>
      <c r="C77" s="45" t="str" cm="1">
        <f t="array" ref="C77:D77">'[1]16. Project Costs'!C78:D78</f>
        <v>Cost of Bond Issuance</v>
      </c>
      <c r="D77" s="46">
        <v>0</v>
      </c>
      <c r="E77" s="149">
        <v>0</v>
      </c>
      <c r="F77" s="43">
        <f t="shared" ref="F77" si="26">+E77-SUM(G77:AJ77)</f>
        <v>0</v>
      </c>
      <c r="G77" s="44">
        <f>+E77</f>
        <v>0</v>
      </c>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27"/>
      <c r="AL77" s="5"/>
      <c r="AM77" s="5"/>
      <c r="AN77" s="5"/>
      <c r="AO77" s="6"/>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row>
    <row r="78" spans="1:86" x14ac:dyDescent="0.3">
      <c r="A78" s="1"/>
      <c r="B78" s="27"/>
      <c r="C78" s="57" t="s">
        <v>63</v>
      </c>
      <c r="D78" s="57"/>
      <c r="E78" s="151">
        <f>E77</f>
        <v>0</v>
      </c>
      <c r="F78" s="58">
        <f>+F77</f>
        <v>0</v>
      </c>
      <c r="G78" s="58">
        <f t="shared" ref="G78:AJ78" si="27">+G77</f>
        <v>0</v>
      </c>
      <c r="H78" s="58">
        <f t="shared" si="27"/>
        <v>0</v>
      </c>
      <c r="I78" s="58">
        <f t="shared" si="27"/>
        <v>0</v>
      </c>
      <c r="J78" s="58">
        <f t="shared" si="27"/>
        <v>0</v>
      </c>
      <c r="K78" s="58">
        <f t="shared" si="27"/>
        <v>0</v>
      </c>
      <c r="L78" s="58">
        <f t="shared" si="27"/>
        <v>0</v>
      </c>
      <c r="M78" s="58">
        <f t="shared" si="27"/>
        <v>0</v>
      </c>
      <c r="N78" s="58">
        <f t="shared" si="27"/>
        <v>0</v>
      </c>
      <c r="O78" s="58">
        <f t="shared" si="27"/>
        <v>0</v>
      </c>
      <c r="P78" s="58">
        <f t="shared" si="27"/>
        <v>0</v>
      </c>
      <c r="Q78" s="58">
        <f t="shared" si="27"/>
        <v>0</v>
      </c>
      <c r="R78" s="58">
        <f t="shared" si="27"/>
        <v>0</v>
      </c>
      <c r="S78" s="58">
        <f t="shared" si="27"/>
        <v>0</v>
      </c>
      <c r="T78" s="58">
        <f t="shared" si="27"/>
        <v>0</v>
      </c>
      <c r="U78" s="58">
        <f t="shared" si="27"/>
        <v>0</v>
      </c>
      <c r="V78" s="58">
        <f t="shared" si="27"/>
        <v>0</v>
      </c>
      <c r="W78" s="58">
        <f t="shared" si="27"/>
        <v>0</v>
      </c>
      <c r="X78" s="58">
        <f t="shared" si="27"/>
        <v>0</v>
      </c>
      <c r="Y78" s="58">
        <f t="shared" si="27"/>
        <v>0</v>
      </c>
      <c r="Z78" s="58">
        <f t="shared" si="27"/>
        <v>0</v>
      </c>
      <c r="AA78" s="58">
        <f t="shared" si="27"/>
        <v>0</v>
      </c>
      <c r="AB78" s="58">
        <f t="shared" si="27"/>
        <v>0</v>
      </c>
      <c r="AC78" s="58">
        <f t="shared" si="27"/>
        <v>0</v>
      </c>
      <c r="AD78" s="58">
        <f t="shared" si="27"/>
        <v>0</v>
      </c>
      <c r="AE78" s="58">
        <f t="shared" si="27"/>
        <v>0</v>
      </c>
      <c r="AF78" s="58">
        <f t="shared" si="27"/>
        <v>0</v>
      </c>
      <c r="AG78" s="58">
        <f t="shared" si="27"/>
        <v>0</v>
      </c>
      <c r="AH78" s="58">
        <f t="shared" si="27"/>
        <v>0</v>
      </c>
      <c r="AI78" s="58">
        <f t="shared" si="27"/>
        <v>0</v>
      </c>
      <c r="AJ78" s="58">
        <f t="shared" si="27"/>
        <v>0</v>
      </c>
      <c r="AK78" s="27"/>
      <c r="AL78" s="5"/>
      <c r="AM78" s="5"/>
      <c r="AN78" s="5"/>
      <c r="AO78" s="6"/>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row>
    <row r="79" spans="1:86" x14ac:dyDescent="0.3">
      <c r="A79" s="1"/>
      <c r="B79" s="27"/>
      <c r="C79" s="55" t="s">
        <v>64</v>
      </c>
      <c r="D79" s="55"/>
      <c r="E79" s="148"/>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27"/>
      <c r="AL79" s="5"/>
      <c r="AM79" s="5"/>
      <c r="AN79" s="5"/>
      <c r="AO79" s="6"/>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row>
    <row r="80" spans="1:86" x14ac:dyDescent="0.3">
      <c r="A80" s="1"/>
      <c r="B80" s="27"/>
      <c r="C80" s="41" t="str" cm="1">
        <f t="array" ref="C80:D80">'[1]16. Project Costs'!C81:D81</f>
        <v>Bridge Loan Fees and Expenses</v>
      </c>
      <c r="D80" s="42">
        <v>0</v>
      </c>
      <c r="E80" s="149">
        <v>0</v>
      </c>
      <c r="F80" s="43">
        <f t="shared" ref="F80:F82" si="28">+E80-SUM(G80:AJ80)</f>
        <v>0</v>
      </c>
      <c r="G80" s="44">
        <f>+E80</f>
        <v>0</v>
      </c>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27"/>
      <c r="AL80" s="5"/>
      <c r="AM80" s="5"/>
      <c r="AN80" s="5"/>
      <c r="AO80" s="6"/>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row>
    <row r="81" spans="1:86" hidden="1" x14ac:dyDescent="0.3">
      <c r="A81" s="1"/>
      <c r="B81" s="27"/>
      <c r="C81" s="60" t="str" cm="1">
        <f t="array" ref="C81:D81">'[1]16. Project Costs'!C82:D82</f>
        <v>Predev./ Bridge Financing Fees</v>
      </c>
      <c r="D81" s="60">
        <v>0</v>
      </c>
      <c r="E81" s="149">
        <v>0</v>
      </c>
      <c r="F81" s="68">
        <f t="shared" si="28"/>
        <v>0</v>
      </c>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27"/>
      <c r="AL81" s="5"/>
      <c r="AM81" s="5"/>
      <c r="AN81" s="5"/>
      <c r="AO81" s="6"/>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row>
    <row r="82" spans="1:86" hidden="1" x14ac:dyDescent="0.3">
      <c r="A82" s="1"/>
      <c r="B82" s="27"/>
      <c r="C82" s="41" t="str" cm="1">
        <f t="array" ref="C82:D82">'[1]16. Project Costs'!C83:D83</f>
        <v>Predev / Bridge Origination Fees</v>
      </c>
      <c r="D82" s="41">
        <v>0</v>
      </c>
      <c r="E82" s="149">
        <v>0</v>
      </c>
      <c r="F82" s="43">
        <f t="shared" si="28"/>
        <v>0</v>
      </c>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44"/>
      <c r="AH82" s="44"/>
      <c r="AI82" s="44"/>
      <c r="AJ82" s="44"/>
      <c r="AK82" s="27"/>
      <c r="AL82" s="5"/>
      <c r="AM82" s="5"/>
      <c r="AN82" s="5"/>
      <c r="AO82" s="6"/>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row>
    <row r="83" spans="1:86" x14ac:dyDescent="0.3">
      <c r="A83" s="1"/>
      <c r="B83" s="27"/>
      <c r="C83" s="41" t="str">
        <f>'[1]16. Project Costs'!C84</f>
        <v>WHEDA Construction Loan Interest</v>
      </c>
      <c r="D83" s="71" t="s">
        <v>65</v>
      </c>
      <c r="E83" s="149">
        <v>0</v>
      </c>
      <c r="F83" s="72">
        <f>+E83-SUM(G83:AJ83)</f>
        <v>0</v>
      </c>
      <c r="G83" s="73">
        <v>0</v>
      </c>
      <c r="H83" s="74">
        <f>SUM(H193:H198)</f>
        <v>0</v>
      </c>
      <c r="I83" s="74">
        <f t="shared" ref="I83:AJ83" si="29">SUM(I193:I198)</f>
        <v>0</v>
      </c>
      <c r="J83" s="74">
        <f t="shared" si="29"/>
        <v>0</v>
      </c>
      <c r="K83" s="74">
        <f t="shared" si="29"/>
        <v>0</v>
      </c>
      <c r="L83" s="74">
        <f t="shared" si="29"/>
        <v>0</v>
      </c>
      <c r="M83" s="74">
        <f t="shared" si="29"/>
        <v>0</v>
      </c>
      <c r="N83" s="74">
        <f t="shared" si="29"/>
        <v>0</v>
      </c>
      <c r="O83" s="74">
        <f t="shared" si="29"/>
        <v>0</v>
      </c>
      <c r="P83" s="74">
        <f t="shared" si="29"/>
        <v>0</v>
      </c>
      <c r="Q83" s="74">
        <f t="shared" si="29"/>
        <v>0</v>
      </c>
      <c r="R83" s="74">
        <f t="shared" si="29"/>
        <v>0</v>
      </c>
      <c r="S83" s="74">
        <f t="shared" si="29"/>
        <v>0</v>
      </c>
      <c r="T83" s="74">
        <f t="shared" si="29"/>
        <v>0</v>
      </c>
      <c r="U83" s="74">
        <f t="shared" si="29"/>
        <v>0</v>
      </c>
      <c r="V83" s="74">
        <f t="shared" si="29"/>
        <v>0</v>
      </c>
      <c r="W83" s="74">
        <f t="shared" si="29"/>
        <v>0</v>
      </c>
      <c r="X83" s="74">
        <f t="shared" si="29"/>
        <v>0</v>
      </c>
      <c r="Y83" s="74">
        <f t="shared" si="29"/>
        <v>0</v>
      </c>
      <c r="Z83" s="74">
        <f t="shared" si="29"/>
        <v>0</v>
      </c>
      <c r="AA83" s="74">
        <f t="shared" si="29"/>
        <v>0</v>
      </c>
      <c r="AB83" s="74">
        <f t="shared" si="29"/>
        <v>0</v>
      </c>
      <c r="AC83" s="74">
        <f t="shared" si="29"/>
        <v>0</v>
      </c>
      <c r="AD83" s="74">
        <f t="shared" si="29"/>
        <v>0</v>
      </c>
      <c r="AE83" s="74">
        <f t="shared" si="29"/>
        <v>0</v>
      </c>
      <c r="AF83" s="74">
        <f t="shared" si="29"/>
        <v>0</v>
      </c>
      <c r="AG83" s="74">
        <f t="shared" si="29"/>
        <v>0</v>
      </c>
      <c r="AH83" s="74">
        <f t="shared" si="29"/>
        <v>0</v>
      </c>
      <c r="AI83" s="74">
        <f t="shared" si="29"/>
        <v>0</v>
      </c>
      <c r="AJ83" s="74">
        <f t="shared" si="29"/>
        <v>0</v>
      </c>
      <c r="AK83" s="27"/>
      <c r="AL83" s="5"/>
      <c r="AM83" s="5"/>
      <c r="AN83" s="5"/>
      <c r="AO83" s="6"/>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row>
    <row r="84" spans="1:86" x14ac:dyDescent="0.3">
      <c r="A84" s="1"/>
      <c r="B84" s="27"/>
      <c r="C84" s="41" t="str" cm="1">
        <f t="array" ref="C84:D84">'[1]16. Project Costs'!C85:D85</f>
        <v>Other Construction Loan Interest</v>
      </c>
      <c r="D84" s="42">
        <v>0</v>
      </c>
      <c r="E84" s="149">
        <v>0</v>
      </c>
      <c r="F84" s="43">
        <f t="shared" ref="F84:F87" si="30">+E84-SUM(G84:AJ84)</f>
        <v>0</v>
      </c>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44"/>
      <c r="AH84" s="44"/>
      <c r="AI84" s="44"/>
      <c r="AJ84" s="44"/>
      <c r="AK84" s="27"/>
      <c r="AL84" s="5"/>
      <c r="AM84" s="5"/>
      <c r="AN84" s="5"/>
      <c r="AO84" s="6"/>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row>
    <row r="85" spans="1:86" hidden="1" x14ac:dyDescent="0.3">
      <c r="A85" s="1"/>
      <c r="B85" s="27"/>
      <c r="C85" s="41" t="str" cm="1">
        <f t="array" ref="C85:D85">'[1]16. Project Costs'!C86:D86</f>
        <v>Construction Lender Legal Fees</v>
      </c>
      <c r="D85" s="42">
        <v>0</v>
      </c>
      <c r="E85" s="149">
        <v>0</v>
      </c>
      <c r="F85" s="43">
        <f t="shared" si="30"/>
        <v>0</v>
      </c>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27"/>
      <c r="AL85" s="5"/>
      <c r="AM85" s="5"/>
      <c r="AN85" s="5"/>
      <c r="AO85" s="6"/>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row>
    <row r="86" spans="1:86" hidden="1" x14ac:dyDescent="0.3">
      <c r="A86" s="1"/>
      <c r="B86" s="27"/>
      <c r="C86" s="41" t="str" cm="1">
        <f t="array" ref="C86:D86">'[1]16. Project Costs'!C87:D87</f>
        <v>Lender Inspection Fees</v>
      </c>
      <c r="D86" s="42">
        <v>0</v>
      </c>
      <c r="E86" s="149">
        <v>0</v>
      </c>
      <c r="F86" s="43">
        <f t="shared" si="30"/>
        <v>0</v>
      </c>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27"/>
      <c r="AL86" s="5"/>
      <c r="AM86" s="5"/>
      <c r="AN86" s="5"/>
      <c r="AO86" s="6"/>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row>
    <row r="87" spans="1:86" x14ac:dyDescent="0.3">
      <c r="A87" s="1"/>
      <c r="B87" s="27"/>
      <c r="C87" s="45" t="str" cm="1">
        <f t="array" ref="C87:D87">'[1]16. Project Costs'!C88:D88</f>
        <v>Legal Fees - Miscellaneous</v>
      </c>
      <c r="D87" s="46">
        <v>0</v>
      </c>
      <c r="E87" s="149">
        <v>0</v>
      </c>
      <c r="F87" s="43">
        <f t="shared" si="30"/>
        <v>0</v>
      </c>
      <c r="G87" s="44">
        <f>+E87</f>
        <v>0</v>
      </c>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27"/>
      <c r="AL87" s="5"/>
      <c r="AM87" s="5"/>
      <c r="AN87" s="5"/>
      <c r="AO87" s="6"/>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row>
    <row r="88" spans="1:86" x14ac:dyDescent="0.3">
      <c r="A88" s="1"/>
      <c r="B88" s="27"/>
      <c r="C88" s="57" t="s">
        <v>66</v>
      </c>
      <c r="D88" s="57"/>
      <c r="E88" s="151">
        <f>SUM(E80:E87)</f>
        <v>0</v>
      </c>
      <c r="F88" s="58">
        <f>SUM(F80:F87)</f>
        <v>0</v>
      </c>
      <c r="G88" s="58">
        <f t="shared" ref="G88:AJ88" si="31">SUM(G80:G87)</f>
        <v>0</v>
      </c>
      <c r="H88" s="58">
        <f t="shared" si="31"/>
        <v>0</v>
      </c>
      <c r="I88" s="58">
        <f t="shared" si="31"/>
        <v>0</v>
      </c>
      <c r="J88" s="58">
        <f t="shared" si="31"/>
        <v>0</v>
      </c>
      <c r="K88" s="58">
        <f t="shared" si="31"/>
        <v>0</v>
      </c>
      <c r="L88" s="58">
        <f t="shared" si="31"/>
        <v>0</v>
      </c>
      <c r="M88" s="58">
        <f t="shared" si="31"/>
        <v>0</v>
      </c>
      <c r="N88" s="58">
        <f t="shared" si="31"/>
        <v>0</v>
      </c>
      <c r="O88" s="58">
        <f t="shared" si="31"/>
        <v>0</v>
      </c>
      <c r="P88" s="58">
        <f t="shared" si="31"/>
        <v>0</v>
      </c>
      <c r="Q88" s="58">
        <f t="shared" si="31"/>
        <v>0</v>
      </c>
      <c r="R88" s="58">
        <f t="shared" si="31"/>
        <v>0</v>
      </c>
      <c r="S88" s="58">
        <f t="shared" si="31"/>
        <v>0</v>
      </c>
      <c r="T88" s="58">
        <f t="shared" si="31"/>
        <v>0</v>
      </c>
      <c r="U88" s="58">
        <f t="shared" si="31"/>
        <v>0</v>
      </c>
      <c r="V88" s="58">
        <f t="shared" si="31"/>
        <v>0</v>
      </c>
      <c r="W88" s="58">
        <f t="shared" si="31"/>
        <v>0</v>
      </c>
      <c r="X88" s="58">
        <f t="shared" si="31"/>
        <v>0</v>
      </c>
      <c r="Y88" s="58">
        <f t="shared" si="31"/>
        <v>0</v>
      </c>
      <c r="Z88" s="58">
        <f t="shared" si="31"/>
        <v>0</v>
      </c>
      <c r="AA88" s="58">
        <f t="shared" si="31"/>
        <v>0</v>
      </c>
      <c r="AB88" s="58">
        <f t="shared" si="31"/>
        <v>0</v>
      </c>
      <c r="AC88" s="58">
        <f t="shared" si="31"/>
        <v>0</v>
      </c>
      <c r="AD88" s="58">
        <f t="shared" si="31"/>
        <v>0</v>
      </c>
      <c r="AE88" s="58">
        <f t="shared" si="31"/>
        <v>0</v>
      </c>
      <c r="AF88" s="58">
        <f t="shared" si="31"/>
        <v>0</v>
      </c>
      <c r="AG88" s="58">
        <f t="shared" si="31"/>
        <v>0</v>
      </c>
      <c r="AH88" s="58">
        <f t="shared" si="31"/>
        <v>0</v>
      </c>
      <c r="AI88" s="58">
        <f t="shared" si="31"/>
        <v>0</v>
      </c>
      <c r="AJ88" s="58">
        <f t="shared" si="31"/>
        <v>0</v>
      </c>
      <c r="AK88" s="27"/>
      <c r="AL88" s="5"/>
      <c r="AM88" s="5"/>
      <c r="AN88" s="5"/>
      <c r="AO88" s="6"/>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row>
    <row r="89" spans="1:86" x14ac:dyDescent="0.3">
      <c r="A89" s="1"/>
      <c r="B89" s="27"/>
      <c r="C89" s="55" t="s">
        <v>67</v>
      </c>
      <c r="D89" s="55"/>
      <c r="E89" s="140"/>
      <c r="F89" s="56"/>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56"/>
      <c r="AH89" s="56"/>
      <c r="AI89" s="56"/>
      <c r="AJ89" s="56"/>
      <c r="AK89" s="27"/>
      <c r="AL89" s="5"/>
      <c r="AM89" s="5"/>
      <c r="AN89" s="5"/>
      <c r="AO89" s="6"/>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row>
    <row r="90" spans="1:86" x14ac:dyDescent="0.3">
      <c r="A90" s="1"/>
      <c r="B90" s="27"/>
      <c r="C90" s="41" t="str" cm="1">
        <f t="array" ref="C90:D90">'[1]16. Project Costs'!C91:D91</f>
        <v>Construction Loan Credit Enhancement/LOC</v>
      </c>
      <c r="D90" s="42">
        <v>0</v>
      </c>
      <c r="E90" s="149">
        <v>0</v>
      </c>
      <c r="F90" s="43">
        <f t="shared" ref="F90:F99" si="32">+E90-SUM(G90:AJ90)</f>
        <v>0</v>
      </c>
      <c r="G90" s="44">
        <f>+E90</f>
        <v>0</v>
      </c>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27"/>
      <c r="AL90" s="5"/>
      <c r="AM90" s="5"/>
      <c r="AN90" s="5"/>
      <c r="AO90" s="6"/>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row>
    <row r="91" spans="1:86" x14ac:dyDescent="0.3">
      <c r="A91" s="1"/>
      <c r="B91" s="27"/>
      <c r="C91" s="41" t="str" cm="1">
        <f t="array" ref="C91:D91">'[1]16. Project Costs'!C92:D92</f>
        <v>Construction Period Real Estate Taxes</v>
      </c>
      <c r="D91" s="42">
        <v>0</v>
      </c>
      <c r="E91" s="149">
        <v>0</v>
      </c>
      <c r="F91" s="43">
        <f t="shared" si="32"/>
        <v>0</v>
      </c>
      <c r="G91" s="44">
        <f>+E91</f>
        <v>0</v>
      </c>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27"/>
      <c r="AL91" s="5"/>
      <c r="AM91" s="5"/>
      <c r="AN91" s="5"/>
      <c r="AO91" s="6"/>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row>
    <row r="92" spans="1:86" x14ac:dyDescent="0.3">
      <c r="A92" s="1"/>
      <c r="B92" s="27"/>
      <c r="C92" s="41" t="str" cm="1">
        <f t="array" ref="C92:D92">'[1]16. Project Costs'!C93:D93</f>
        <v>Title and Recording</v>
      </c>
      <c r="D92" s="42">
        <v>0</v>
      </c>
      <c r="E92" s="149">
        <v>0</v>
      </c>
      <c r="F92" s="43">
        <f t="shared" si="32"/>
        <v>0</v>
      </c>
      <c r="G92" s="44">
        <f>+E92</f>
        <v>0</v>
      </c>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27"/>
      <c r="AL92" s="5"/>
      <c r="AM92" s="5"/>
      <c r="AN92" s="5"/>
      <c r="AO92" s="6"/>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row>
    <row r="93" spans="1:86" hidden="1" x14ac:dyDescent="0.3">
      <c r="A93" s="1"/>
      <c r="B93" s="27"/>
      <c r="C93" s="41" t="str" cm="1">
        <f t="array" ref="C93:D93">'[1]16. Project Costs'!C94:D94</f>
        <v>Green Building Cert/ Inspections</v>
      </c>
      <c r="D93" s="42">
        <v>0</v>
      </c>
      <c r="E93" s="149">
        <v>0</v>
      </c>
      <c r="F93" s="43">
        <f t="shared" si="32"/>
        <v>0</v>
      </c>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27"/>
      <c r="AL93" s="5"/>
      <c r="AM93" s="5"/>
      <c r="AN93" s="5"/>
      <c r="AO93" s="6"/>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row>
    <row r="94" spans="1:86" x14ac:dyDescent="0.3">
      <c r="A94" s="1"/>
      <c r="B94" s="27"/>
      <c r="C94" s="41" t="str" cm="1">
        <f t="array" ref="C94:D94">'[1]16. Project Costs'!C95:D95</f>
        <v>Construction Insurance</v>
      </c>
      <c r="D94" s="42">
        <v>0</v>
      </c>
      <c r="E94" s="149">
        <v>0</v>
      </c>
      <c r="F94" s="43">
        <f t="shared" si="32"/>
        <v>0</v>
      </c>
      <c r="G94" s="44">
        <f>+E94</f>
        <v>0</v>
      </c>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27"/>
      <c r="AL94" s="5"/>
      <c r="AM94" s="5"/>
      <c r="AN94" s="5"/>
      <c r="AO94" s="6"/>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row>
    <row r="95" spans="1:86" hidden="1" x14ac:dyDescent="0.3">
      <c r="A95" s="1"/>
      <c r="B95" s="27"/>
      <c r="C95" s="41" t="str" cm="1">
        <f t="array" ref="C95:D95">'[1]16. Project Costs'!C96:D96</f>
        <v>Construction Liability Insurance</v>
      </c>
      <c r="D95" s="42">
        <v>0</v>
      </c>
      <c r="E95" s="149">
        <v>0</v>
      </c>
      <c r="F95" s="43">
        <f t="shared" si="32"/>
        <v>0</v>
      </c>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27"/>
      <c r="AL95" s="5"/>
      <c r="AM95" s="5"/>
      <c r="AN95" s="5"/>
      <c r="AO95" s="6"/>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row>
    <row r="96" spans="1:86" hidden="1" x14ac:dyDescent="0.3">
      <c r="B96" s="27"/>
      <c r="C96" s="45" t="str" cm="1">
        <f t="array" ref="C96:D96">'[1]16. Project Costs'!C97:D97</f>
        <v>Other Interim/Const Costs</v>
      </c>
      <c r="D96" s="46">
        <v>0</v>
      </c>
      <c r="E96" s="149">
        <v>0</v>
      </c>
      <c r="F96" s="43">
        <f t="shared" si="32"/>
        <v>0</v>
      </c>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27"/>
      <c r="AL96" s="5"/>
      <c r="AM96" s="5"/>
      <c r="AN96" s="5"/>
      <c r="AO96" s="6"/>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row>
    <row r="97" spans="2:86" x14ac:dyDescent="0.3">
      <c r="B97" s="27"/>
      <c r="C97" s="60" t="str" cm="1">
        <f t="array" ref="C97:D97">'[1]16. Project Costs'!C98:D98</f>
        <v>Temporary Relocation Expenses</v>
      </c>
      <c r="D97" s="42">
        <v>0</v>
      </c>
      <c r="E97" s="149">
        <v>0</v>
      </c>
      <c r="F97" s="43">
        <f t="shared" si="32"/>
        <v>0</v>
      </c>
      <c r="G97" s="44">
        <f t="shared" ref="G97:V98" si="33">+$E97*G$14</f>
        <v>0</v>
      </c>
      <c r="H97" s="44">
        <f t="shared" si="33"/>
        <v>0</v>
      </c>
      <c r="I97" s="44">
        <f t="shared" si="33"/>
        <v>0</v>
      </c>
      <c r="J97" s="44">
        <f t="shared" si="33"/>
        <v>0</v>
      </c>
      <c r="K97" s="44">
        <f t="shared" si="33"/>
        <v>0</v>
      </c>
      <c r="L97" s="44">
        <f t="shared" si="33"/>
        <v>0</v>
      </c>
      <c r="M97" s="44">
        <f t="shared" si="33"/>
        <v>0</v>
      </c>
      <c r="N97" s="44">
        <f t="shared" si="33"/>
        <v>0</v>
      </c>
      <c r="O97" s="44">
        <f t="shared" si="33"/>
        <v>0</v>
      </c>
      <c r="P97" s="44">
        <f t="shared" si="33"/>
        <v>0</v>
      </c>
      <c r="Q97" s="44">
        <f t="shared" si="33"/>
        <v>0</v>
      </c>
      <c r="R97" s="44">
        <f t="shared" si="33"/>
        <v>0</v>
      </c>
      <c r="S97" s="44">
        <f t="shared" si="33"/>
        <v>0</v>
      </c>
      <c r="T97" s="44">
        <f t="shared" si="33"/>
        <v>0</v>
      </c>
      <c r="U97" s="44">
        <f t="shared" si="33"/>
        <v>0</v>
      </c>
      <c r="V97" s="44">
        <f t="shared" si="33"/>
        <v>0</v>
      </c>
      <c r="W97" s="44">
        <f t="shared" ref="W97:AJ98" si="34">+$E97*W$14</f>
        <v>0</v>
      </c>
      <c r="X97" s="44">
        <f t="shared" si="34"/>
        <v>0</v>
      </c>
      <c r="Y97" s="44">
        <f t="shared" si="34"/>
        <v>0</v>
      </c>
      <c r="Z97" s="44">
        <f t="shared" si="34"/>
        <v>0</v>
      </c>
      <c r="AA97" s="44">
        <f t="shared" si="34"/>
        <v>0</v>
      </c>
      <c r="AB97" s="44">
        <f t="shared" si="34"/>
        <v>0</v>
      </c>
      <c r="AC97" s="44">
        <f t="shared" si="34"/>
        <v>0</v>
      </c>
      <c r="AD97" s="44">
        <f t="shared" si="34"/>
        <v>0</v>
      </c>
      <c r="AE97" s="44">
        <f t="shared" si="34"/>
        <v>0</v>
      </c>
      <c r="AF97" s="44">
        <f t="shared" si="34"/>
        <v>0</v>
      </c>
      <c r="AG97" s="44">
        <f t="shared" si="34"/>
        <v>0</v>
      </c>
      <c r="AH97" s="44">
        <f t="shared" si="34"/>
        <v>0</v>
      </c>
      <c r="AI97" s="44">
        <f t="shared" si="34"/>
        <v>0</v>
      </c>
      <c r="AJ97" s="44">
        <f t="shared" si="34"/>
        <v>0</v>
      </c>
      <c r="AK97" s="27"/>
      <c r="AL97" s="5"/>
      <c r="AM97" s="5"/>
      <c r="AN97" s="5"/>
      <c r="AO97" s="6"/>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row>
    <row r="98" spans="2:86" x14ac:dyDescent="0.3">
      <c r="B98" s="27"/>
      <c r="C98" s="60" t="str" cm="1">
        <f t="array" ref="C98:D98">'[1]16. Project Costs'!C99:D99</f>
        <v>Permanent Relocation Expenses</v>
      </c>
      <c r="D98" s="42">
        <v>0</v>
      </c>
      <c r="E98" s="149">
        <v>0</v>
      </c>
      <c r="F98" s="43">
        <f t="shared" si="32"/>
        <v>0</v>
      </c>
      <c r="G98" s="44">
        <f t="shared" si="33"/>
        <v>0</v>
      </c>
      <c r="H98" s="44">
        <f t="shared" si="33"/>
        <v>0</v>
      </c>
      <c r="I98" s="44">
        <f t="shared" si="33"/>
        <v>0</v>
      </c>
      <c r="J98" s="44">
        <f t="shared" si="33"/>
        <v>0</v>
      </c>
      <c r="K98" s="44">
        <f t="shared" si="33"/>
        <v>0</v>
      </c>
      <c r="L98" s="44">
        <f t="shared" si="33"/>
        <v>0</v>
      </c>
      <c r="M98" s="44">
        <f t="shared" si="33"/>
        <v>0</v>
      </c>
      <c r="N98" s="44">
        <f t="shared" si="33"/>
        <v>0</v>
      </c>
      <c r="O98" s="44">
        <f t="shared" si="33"/>
        <v>0</v>
      </c>
      <c r="P98" s="44">
        <f t="shared" si="33"/>
        <v>0</v>
      </c>
      <c r="Q98" s="44">
        <f t="shared" si="33"/>
        <v>0</v>
      </c>
      <c r="R98" s="44">
        <f t="shared" si="33"/>
        <v>0</v>
      </c>
      <c r="S98" s="44">
        <f t="shared" si="33"/>
        <v>0</v>
      </c>
      <c r="T98" s="44">
        <f t="shared" si="33"/>
        <v>0</v>
      </c>
      <c r="U98" s="44">
        <f t="shared" si="33"/>
        <v>0</v>
      </c>
      <c r="V98" s="44">
        <f t="shared" si="33"/>
        <v>0</v>
      </c>
      <c r="W98" s="44">
        <f t="shared" si="34"/>
        <v>0</v>
      </c>
      <c r="X98" s="44">
        <f t="shared" si="34"/>
        <v>0</v>
      </c>
      <c r="Y98" s="44">
        <f t="shared" si="34"/>
        <v>0</v>
      </c>
      <c r="Z98" s="44">
        <f t="shared" si="34"/>
        <v>0</v>
      </c>
      <c r="AA98" s="44">
        <f t="shared" si="34"/>
        <v>0</v>
      </c>
      <c r="AB98" s="44">
        <f t="shared" si="34"/>
        <v>0</v>
      </c>
      <c r="AC98" s="44">
        <f t="shared" si="34"/>
        <v>0</v>
      </c>
      <c r="AD98" s="44">
        <f t="shared" si="34"/>
        <v>0</v>
      </c>
      <c r="AE98" s="44">
        <f t="shared" si="34"/>
        <v>0</v>
      </c>
      <c r="AF98" s="44">
        <f t="shared" si="34"/>
        <v>0</v>
      </c>
      <c r="AG98" s="44">
        <f t="shared" si="34"/>
        <v>0</v>
      </c>
      <c r="AH98" s="44">
        <f t="shared" si="34"/>
        <v>0</v>
      </c>
      <c r="AI98" s="44">
        <f t="shared" si="34"/>
        <v>0</v>
      </c>
      <c r="AJ98" s="44">
        <f t="shared" si="34"/>
        <v>0</v>
      </c>
      <c r="AK98" s="27"/>
      <c r="AL98" s="5"/>
      <c r="AM98" s="5"/>
      <c r="AN98" s="5"/>
      <c r="AO98" s="6"/>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row>
    <row r="99" spans="2:86" x14ac:dyDescent="0.3">
      <c r="B99" s="27"/>
      <c r="C99" s="45" t="str" cm="1">
        <f t="array" ref="C99:D99">'[1]16. Project Costs'!C100:D100</f>
        <v>Other Interim/Construction Costs</v>
      </c>
      <c r="D99" s="46">
        <v>0</v>
      </c>
      <c r="E99" s="149">
        <v>0</v>
      </c>
      <c r="F99" s="43">
        <f t="shared" si="32"/>
        <v>0</v>
      </c>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27"/>
      <c r="AL99" s="5"/>
      <c r="AM99" s="5"/>
      <c r="AN99" s="5"/>
      <c r="AO99" s="6"/>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row>
    <row r="100" spans="2:86" x14ac:dyDescent="0.3">
      <c r="B100" s="27"/>
      <c r="C100" s="57" t="s">
        <v>68</v>
      </c>
      <c r="D100" s="57"/>
      <c r="E100" s="151">
        <f>SUM(E90:E99)</f>
        <v>0</v>
      </c>
      <c r="F100" s="58">
        <f>SUM(F90:F99)</f>
        <v>0</v>
      </c>
      <c r="G100" s="58">
        <f t="shared" ref="G100:AJ100" si="35">SUM(G90:G99)</f>
        <v>0</v>
      </c>
      <c r="H100" s="58">
        <f t="shared" si="35"/>
        <v>0</v>
      </c>
      <c r="I100" s="58">
        <f t="shared" si="35"/>
        <v>0</v>
      </c>
      <c r="J100" s="58">
        <f t="shared" si="35"/>
        <v>0</v>
      </c>
      <c r="K100" s="58">
        <f t="shared" si="35"/>
        <v>0</v>
      </c>
      <c r="L100" s="58">
        <f t="shared" si="35"/>
        <v>0</v>
      </c>
      <c r="M100" s="58">
        <f t="shared" si="35"/>
        <v>0</v>
      </c>
      <c r="N100" s="58">
        <f t="shared" si="35"/>
        <v>0</v>
      </c>
      <c r="O100" s="58">
        <f t="shared" si="35"/>
        <v>0</v>
      </c>
      <c r="P100" s="58">
        <f t="shared" si="35"/>
        <v>0</v>
      </c>
      <c r="Q100" s="58">
        <f t="shared" si="35"/>
        <v>0</v>
      </c>
      <c r="R100" s="58">
        <f t="shared" si="35"/>
        <v>0</v>
      </c>
      <c r="S100" s="58">
        <f t="shared" si="35"/>
        <v>0</v>
      </c>
      <c r="T100" s="58">
        <f t="shared" si="35"/>
        <v>0</v>
      </c>
      <c r="U100" s="58">
        <f t="shared" si="35"/>
        <v>0</v>
      </c>
      <c r="V100" s="58">
        <f t="shared" si="35"/>
        <v>0</v>
      </c>
      <c r="W100" s="58">
        <f t="shared" si="35"/>
        <v>0</v>
      </c>
      <c r="X100" s="58">
        <f t="shared" si="35"/>
        <v>0</v>
      </c>
      <c r="Y100" s="58">
        <f t="shared" si="35"/>
        <v>0</v>
      </c>
      <c r="Z100" s="58">
        <f t="shared" si="35"/>
        <v>0</v>
      </c>
      <c r="AA100" s="58">
        <f t="shared" si="35"/>
        <v>0</v>
      </c>
      <c r="AB100" s="58">
        <f t="shared" si="35"/>
        <v>0</v>
      </c>
      <c r="AC100" s="58">
        <f t="shared" si="35"/>
        <v>0</v>
      </c>
      <c r="AD100" s="58">
        <f t="shared" si="35"/>
        <v>0</v>
      </c>
      <c r="AE100" s="58">
        <f t="shared" si="35"/>
        <v>0</v>
      </c>
      <c r="AF100" s="58">
        <f t="shared" si="35"/>
        <v>0</v>
      </c>
      <c r="AG100" s="58">
        <f t="shared" si="35"/>
        <v>0</v>
      </c>
      <c r="AH100" s="58">
        <f t="shared" si="35"/>
        <v>0</v>
      </c>
      <c r="AI100" s="58">
        <f t="shared" si="35"/>
        <v>0</v>
      </c>
      <c r="AJ100" s="58">
        <f t="shared" si="35"/>
        <v>0</v>
      </c>
      <c r="AK100" s="27"/>
      <c r="AL100" s="5"/>
      <c r="AM100" s="5"/>
      <c r="AN100" s="5"/>
      <c r="AO100" s="6"/>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row>
    <row r="101" spans="2:86" x14ac:dyDescent="0.3">
      <c r="B101" s="27"/>
      <c r="C101" s="50" t="s">
        <v>69</v>
      </c>
      <c r="D101" s="50"/>
      <c r="E101" s="150">
        <f t="shared" ref="E101:AJ101" si="36">+E100+E88+E78+E75</f>
        <v>0</v>
      </c>
      <c r="F101" s="52">
        <f t="shared" si="36"/>
        <v>0</v>
      </c>
      <c r="G101" s="52">
        <f t="shared" si="36"/>
        <v>0</v>
      </c>
      <c r="H101" s="52">
        <f t="shared" si="36"/>
        <v>0</v>
      </c>
      <c r="I101" s="52">
        <f t="shared" si="36"/>
        <v>0</v>
      </c>
      <c r="J101" s="52">
        <f t="shared" si="36"/>
        <v>0</v>
      </c>
      <c r="K101" s="52">
        <f t="shared" si="36"/>
        <v>0</v>
      </c>
      <c r="L101" s="52">
        <f t="shared" si="36"/>
        <v>0</v>
      </c>
      <c r="M101" s="52">
        <f t="shared" si="36"/>
        <v>0</v>
      </c>
      <c r="N101" s="52">
        <f t="shared" si="36"/>
        <v>0</v>
      </c>
      <c r="O101" s="52">
        <f t="shared" si="36"/>
        <v>0</v>
      </c>
      <c r="P101" s="52">
        <f t="shared" si="36"/>
        <v>0</v>
      </c>
      <c r="Q101" s="52">
        <f t="shared" si="36"/>
        <v>0</v>
      </c>
      <c r="R101" s="52">
        <f t="shared" si="36"/>
        <v>0</v>
      </c>
      <c r="S101" s="52">
        <f t="shared" si="36"/>
        <v>0</v>
      </c>
      <c r="T101" s="52">
        <f t="shared" si="36"/>
        <v>0</v>
      </c>
      <c r="U101" s="52">
        <f t="shared" si="36"/>
        <v>0</v>
      </c>
      <c r="V101" s="52">
        <f t="shared" si="36"/>
        <v>0</v>
      </c>
      <c r="W101" s="52">
        <f t="shared" si="36"/>
        <v>0</v>
      </c>
      <c r="X101" s="52">
        <f t="shared" si="36"/>
        <v>0</v>
      </c>
      <c r="Y101" s="52">
        <f t="shared" si="36"/>
        <v>0</v>
      </c>
      <c r="Z101" s="52">
        <f t="shared" si="36"/>
        <v>0</v>
      </c>
      <c r="AA101" s="52">
        <f t="shared" si="36"/>
        <v>0</v>
      </c>
      <c r="AB101" s="52">
        <f t="shared" si="36"/>
        <v>0</v>
      </c>
      <c r="AC101" s="52">
        <f t="shared" si="36"/>
        <v>0</v>
      </c>
      <c r="AD101" s="52">
        <f t="shared" si="36"/>
        <v>0</v>
      </c>
      <c r="AE101" s="52">
        <f t="shared" si="36"/>
        <v>0</v>
      </c>
      <c r="AF101" s="52">
        <f t="shared" si="36"/>
        <v>0</v>
      </c>
      <c r="AG101" s="52">
        <f t="shared" si="36"/>
        <v>0</v>
      </c>
      <c r="AH101" s="52">
        <f t="shared" si="36"/>
        <v>0</v>
      </c>
      <c r="AI101" s="52">
        <f t="shared" si="36"/>
        <v>0</v>
      </c>
      <c r="AJ101" s="52">
        <f t="shared" si="36"/>
        <v>0</v>
      </c>
      <c r="AK101" s="27"/>
      <c r="AL101" s="5"/>
      <c r="AM101" s="5"/>
      <c r="AN101" s="5"/>
      <c r="AO101" s="6"/>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row>
    <row r="102" spans="2:86" ht="15.6" x14ac:dyDescent="0.3">
      <c r="B102" s="27"/>
      <c r="C102" s="76" t="s">
        <v>70</v>
      </c>
      <c r="D102" s="76"/>
      <c r="E102" s="146"/>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27"/>
      <c r="AL102" s="5"/>
      <c r="AM102" s="5"/>
      <c r="AN102" s="5"/>
      <c r="AO102" s="6"/>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row>
    <row r="103" spans="2:86" x14ac:dyDescent="0.3">
      <c r="B103" s="27"/>
      <c r="C103" s="77" t="str" cm="1">
        <f t="array" ref="C103:D103">'[1]16. Project Costs'!C105:D105</f>
        <v>Permanent Loan Origination Fee - Non WHEDA</v>
      </c>
      <c r="D103" s="78">
        <v>0</v>
      </c>
      <c r="E103" s="149">
        <v>0</v>
      </c>
      <c r="F103" s="43">
        <f t="shared" ref="F103:F111" si="37">+E103-SUM(G103:AJ103)</f>
        <v>0</v>
      </c>
      <c r="G103" s="44">
        <f t="shared" ref="G103:G111" si="38">+E103</f>
        <v>0</v>
      </c>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27"/>
      <c r="AL103" s="5"/>
      <c r="AM103" s="5"/>
      <c r="AN103" s="5"/>
      <c r="AO103" s="6"/>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row>
    <row r="104" spans="2:86" x14ac:dyDescent="0.3">
      <c r="B104" s="27"/>
      <c r="C104" s="77" t="str" cm="1">
        <f t="array" ref="C104:D104">'[1]16. Project Costs'!C106:D106</f>
        <v>Permanent Loan Origination Fee - WHEDA</v>
      </c>
      <c r="D104" s="78">
        <v>0</v>
      </c>
      <c r="E104" s="149">
        <v>0</v>
      </c>
      <c r="F104" s="43">
        <f t="shared" si="37"/>
        <v>0</v>
      </c>
      <c r="G104" s="44">
        <f t="shared" si="38"/>
        <v>0</v>
      </c>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27"/>
      <c r="AL104" s="5"/>
      <c r="AM104" s="5"/>
      <c r="AN104" s="5"/>
      <c r="AO104" s="6"/>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row>
    <row r="105" spans="2:86" hidden="1" x14ac:dyDescent="0.3">
      <c r="B105" s="27"/>
      <c r="C105" s="77" t="str" cm="1">
        <f t="array" ref="C105:D105">'[1]16. Project Costs'!C107:D107</f>
        <v>Perm Lender Origination/Points</v>
      </c>
      <c r="D105" s="78">
        <v>0</v>
      </c>
      <c r="E105" s="149">
        <v>0</v>
      </c>
      <c r="F105" s="43">
        <f t="shared" si="37"/>
        <v>0</v>
      </c>
      <c r="G105" s="44">
        <f t="shared" si="38"/>
        <v>0</v>
      </c>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27"/>
      <c r="AL105" s="5"/>
      <c r="AM105" s="5"/>
      <c r="AN105" s="5"/>
      <c r="AO105" s="6"/>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row>
    <row r="106" spans="2:86" hidden="1" x14ac:dyDescent="0.3">
      <c r="B106" s="27"/>
      <c r="C106" s="77" t="str" cm="1">
        <f t="array" ref="C106:D106">'[1]16. Project Costs'!C108:D108</f>
        <v>Perm Lender Legal Fees</v>
      </c>
      <c r="D106" s="78">
        <v>0</v>
      </c>
      <c r="E106" s="149">
        <v>0</v>
      </c>
      <c r="F106" s="43">
        <f t="shared" si="37"/>
        <v>0</v>
      </c>
      <c r="G106" s="44">
        <f t="shared" si="38"/>
        <v>0</v>
      </c>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27"/>
      <c r="AL106" s="5"/>
      <c r="AM106" s="5"/>
      <c r="AN106" s="5"/>
      <c r="AO106" s="6"/>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row>
    <row r="107" spans="2:86" x14ac:dyDescent="0.3">
      <c r="B107" s="27"/>
      <c r="C107" s="77" t="str" cm="1">
        <f t="array" ref="C107:D107">'[1]16. Project Costs'!C109:D109</f>
        <v>Permanent Loan Credit Enhancement</v>
      </c>
      <c r="D107" s="78">
        <v>0</v>
      </c>
      <c r="E107" s="149">
        <v>0</v>
      </c>
      <c r="F107" s="43">
        <f t="shared" si="37"/>
        <v>0</v>
      </c>
      <c r="G107" s="44">
        <f t="shared" si="38"/>
        <v>0</v>
      </c>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27"/>
      <c r="AL107" s="5"/>
      <c r="AM107" s="5"/>
      <c r="AN107" s="5"/>
      <c r="AO107" s="6"/>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row>
    <row r="108" spans="2:86" hidden="1" x14ac:dyDescent="0.3">
      <c r="B108" s="27"/>
      <c r="C108" s="41" t="str" cm="1">
        <f t="array" ref="C108:D108">'[1]16. Project Costs'!C110:D110</f>
        <v>Perm Closing Title and Recording</v>
      </c>
      <c r="D108" s="42">
        <v>0</v>
      </c>
      <c r="E108" s="149">
        <v>0</v>
      </c>
      <c r="F108" s="43">
        <f t="shared" si="37"/>
        <v>0</v>
      </c>
      <c r="G108" s="44">
        <f t="shared" si="38"/>
        <v>0</v>
      </c>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27"/>
      <c r="AL108" s="5"/>
      <c r="AM108" s="5"/>
      <c r="AN108" s="5"/>
      <c r="AO108" s="6"/>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row>
    <row r="109" spans="2:86" hidden="1" x14ac:dyDescent="0.3">
      <c r="B109" s="27"/>
      <c r="C109" s="41" t="str" cm="1">
        <f t="array" ref="C109:D109">'[1]16. Project Costs'!C111:D111</f>
        <v xml:space="preserve">Perm Closing Property Taxes  </v>
      </c>
      <c r="D109" s="42">
        <v>0</v>
      </c>
      <c r="E109" s="149">
        <v>0</v>
      </c>
      <c r="F109" s="43">
        <f t="shared" si="37"/>
        <v>0</v>
      </c>
      <c r="G109" s="44">
        <f t="shared" si="38"/>
        <v>0</v>
      </c>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27"/>
      <c r="AL109" s="5"/>
      <c r="AM109" s="5"/>
      <c r="AN109" s="5"/>
      <c r="AO109" s="6"/>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row>
    <row r="110" spans="2:86" x14ac:dyDescent="0.3">
      <c r="B110" s="27"/>
      <c r="C110" s="79" t="str" cm="1">
        <f t="array" ref="C110:D110">'[1]16. Project Costs'!C112:D112</f>
        <v>Legal Fees - Real Estate</v>
      </c>
      <c r="D110" s="80">
        <v>0</v>
      </c>
      <c r="E110" s="149">
        <v>0</v>
      </c>
      <c r="F110" s="43">
        <f t="shared" si="37"/>
        <v>0</v>
      </c>
      <c r="G110" s="44">
        <f t="shared" si="38"/>
        <v>0</v>
      </c>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27"/>
      <c r="AL110" s="5"/>
      <c r="AM110" s="5"/>
      <c r="AN110" s="5"/>
      <c r="AO110" s="6"/>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row>
    <row r="111" spans="2:86" x14ac:dyDescent="0.3">
      <c r="B111" s="27"/>
      <c r="C111" s="79" t="str" cm="1">
        <f t="array" ref="C111:D111">'[1]16. Project Costs'!C113:D113</f>
        <v>Other Financing Fees and Expenses</v>
      </c>
      <c r="D111" s="80">
        <v>0</v>
      </c>
      <c r="E111" s="149">
        <v>0</v>
      </c>
      <c r="F111" s="43">
        <f t="shared" si="37"/>
        <v>0</v>
      </c>
      <c r="G111" s="44">
        <f t="shared" si="38"/>
        <v>0</v>
      </c>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27"/>
      <c r="AL111" s="5"/>
      <c r="AM111" s="5"/>
      <c r="AN111" s="5"/>
      <c r="AO111" s="6"/>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row>
    <row r="112" spans="2:86" x14ac:dyDescent="0.3">
      <c r="B112" s="27"/>
      <c r="C112" s="50" t="s">
        <v>71</v>
      </c>
      <c r="D112" s="50"/>
      <c r="E112" s="51">
        <f>SUM(E103:E111)</f>
        <v>0</v>
      </c>
      <c r="F112" s="52">
        <f>SUM(F103:F111)</f>
        <v>0</v>
      </c>
      <c r="G112" s="52">
        <f t="shared" ref="G112:AJ112" si="39">SUM(G103:G111)</f>
        <v>0</v>
      </c>
      <c r="H112" s="52">
        <f t="shared" si="39"/>
        <v>0</v>
      </c>
      <c r="I112" s="52">
        <f t="shared" si="39"/>
        <v>0</v>
      </c>
      <c r="J112" s="52">
        <f t="shared" si="39"/>
        <v>0</v>
      </c>
      <c r="K112" s="52">
        <f t="shared" si="39"/>
        <v>0</v>
      </c>
      <c r="L112" s="52">
        <f t="shared" si="39"/>
        <v>0</v>
      </c>
      <c r="M112" s="52">
        <f t="shared" si="39"/>
        <v>0</v>
      </c>
      <c r="N112" s="52">
        <f t="shared" si="39"/>
        <v>0</v>
      </c>
      <c r="O112" s="52">
        <f t="shared" si="39"/>
        <v>0</v>
      </c>
      <c r="P112" s="52">
        <f t="shared" si="39"/>
        <v>0</v>
      </c>
      <c r="Q112" s="52">
        <f t="shared" si="39"/>
        <v>0</v>
      </c>
      <c r="R112" s="52">
        <f t="shared" si="39"/>
        <v>0</v>
      </c>
      <c r="S112" s="52">
        <f t="shared" si="39"/>
        <v>0</v>
      </c>
      <c r="T112" s="52">
        <f t="shared" si="39"/>
        <v>0</v>
      </c>
      <c r="U112" s="52">
        <f t="shared" si="39"/>
        <v>0</v>
      </c>
      <c r="V112" s="52">
        <f t="shared" si="39"/>
        <v>0</v>
      </c>
      <c r="W112" s="52">
        <f t="shared" si="39"/>
        <v>0</v>
      </c>
      <c r="X112" s="52">
        <f t="shared" si="39"/>
        <v>0</v>
      </c>
      <c r="Y112" s="52">
        <f t="shared" si="39"/>
        <v>0</v>
      </c>
      <c r="Z112" s="52">
        <f t="shared" si="39"/>
        <v>0</v>
      </c>
      <c r="AA112" s="52">
        <f t="shared" si="39"/>
        <v>0</v>
      </c>
      <c r="AB112" s="52">
        <f t="shared" si="39"/>
        <v>0</v>
      </c>
      <c r="AC112" s="52">
        <f t="shared" si="39"/>
        <v>0</v>
      </c>
      <c r="AD112" s="52">
        <f t="shared" si="39"/>
        <v>0</v>
      </c>
      <c r="AE112" s="52">
        <f t="shared" si="39"/>
        <v>0</v>
      </c>
      <c r="AF112" s="52">
        <f t="shared" si="39"/>
        <v>0</v>
      </c>
      <c r="AG112" s="52">
        <f t="shared" si="39"/>
        <v>0</v>
      </c>
      <c r="AH112" s="52">
        <f t="shared" si="39"/>
        <v>0</v>
      </c>
      <c r="AI112" s="52">
        <f t="shared" si="39"/>
        <v>0</v>
      </c>
      <c r="AJ112" s="52">
        <f t="shared" si="39"/>
        <v>0</v>
      </c>
      <c r="AK112" s="27"/>
      <c r="AL112" s="5"/>
      <c r="AM112" s="5"/>
      <c r="AN112" s="5"/>
      <c r="AO112" s="6"/>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row>
    <row r="113" spans="1:86" ht="15.6" x14ac:dyDescent="0.3">
      <c r="B113" s="27"/>
      <c r="C113" s="53" t="s">
        <v>72</v>
      </c>
      <c r="D113" s="53"/>
      <c r="E113" s="146"/>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27"/>
      <c r="AL113" s="5"/>
      <c r="AM113" s="5"/>
      <c r="AN113" s="5"/>
      <c r="AO113" s="6"/>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row>
    <row r="114" spans="1:86" x14ac:dyDescent="0.3">
      <c r="B114" s="27"/>
      <c r="C114" s="41" t="str" cm="1">
        <f t="array" ref="C114:D114">'[1]16. Project Costs'!C116:D116</f>
        <v>Architect's Fee - Design</v>
      </c>
      <c r="D114" s="42" t="str">
        <v>N/A</v>
      </c>
      <c r="E114" s="149">
        <v>0</v>
      </c>
      <c r="F114" s="43">
        <f t="shared" ref="F114:F118" si="40">+E114-SUM(G114:AJ114)</f>
        <v>0</v>
      </c>
      <c r="G114" s="44">
        <f>+E114</f>
        <v>0</v>
      </c>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27"/>
      <c r="AL114" s="5"/>
      <c r="AM114" s="5"/>
      <c r="AN114" s="5"/>
      <c r="AO114" s="6"/>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row>
    <row r="115" spans="1:86" x14ac:dyDescent="0.3">
      <c r="B115" s="27"/>
      <c r="C115" s="41" t="str" cm="1">
        <f t="array" ref="C115:D115">'[1]16. Project Costs'!C117:D117</f>
        <v>Architect's Fee - Inspection/Supervision</v>
      </c>
      <c r="D115" s="42" t="str">
        <v>N/A</v>
      </c>
      <c r="E115" s="149">
        <v>0</v>
      </c>
      <c r="F115" s="43">
        <f t="shared" si="40"/>
        <v>0</v>
      </c>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27"/>
      <c r="AL115" s="5"/>
      <c r="AM115" s="5"/>
      <c r="AN115" s="5"/>
      <c r="AO115" s="6"/>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row>
    <row r="116" spans="1:86" x14ac:dyDescent="0.3">
      <c r="B116" s="27"/>
      <c r="C116" s="60" t="str" cm="1">
        <f t="array" ref="C116:D116">'[1]16. Project Costs'!C118:D118</f>
        <v>Engineering Costs</v>
      </c>
      <c r="D116" s="42">
        <v>0</v>
      </c>
      <c r="E116" s="149">
        <v>0</v>
      </c>
      <c r="F116" s="43">
        <f t="shared" si="40"/>
        <v>0</v>
      </c>
      <c r="G116" s="44">
        <f>+E116</f>
        <v>0</v>
      </c>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27"/>
      <c r="AL116" s="5"/>
      <c r="AM116" s="5"/>
      <c r="AN116" s="5"/>
      <c r="AO116" s="6"/>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row>
    <row r="117" spans="1:86" x14ac:dyDescent="0.3">
      <c r="B117" s="27"/>
      <c r="C117" s="60" t="str" cm="1">
        <f t="array" ref="C117:D117">'[1]16. Project Costs'!C119:D119</f>
        <v xml:space="preserve">Survey </v>
      </c>
      <c r="D117" s="42">
        <v>0</v>
      </c>
      <c r="E117" s="149">
        <v>0</v>
      </c>
      <c r="F117" s="43">
        <f t="shared" si="40"/>
        <v>0</v>
      </c>
      <c r="G117" s="44">
        <f>+E117</f>
        <v>0</v>
      </c>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27"/>
      <c r="AL117" s="5"/>
      <c r="AM117" s="5"/>
      <c r="AN117" s="5"/>
      <c r="AO117" s="6"/>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row>
    <row r="118" spans="1:86" x14ac:dyDescent="0.3">
      <c r="A118" s="29" t="str">
        <f>HYPERLINK("#Application_Threshold", Application_Threshold)</f>
        <v>Application Submission Checklist - Submit with Initial Application Only</v>
      </c>
      <c r="B118" s="27"/>
      <c r="C118" s="79" t="str" cm="1">
        <f t="array" ref="C118:D118">'[1]16. Project Costs'!C120:D120</f>
        <v>Other Architect and Engineering</v>
      </c>
      <c r="D118" s="80">
        <v>0</v>
      </c>
      <c r="E118" s="149">
        <v>0</v>
      </c>
      <c r="F118" s="43">
        <f t="shared" si="40"/>
        <v>0</v>
      </c>
      <c r="G118" s="44">
        <f>+E118</f>
        <v>0</v>
      </c>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27"/>
      <c r="AL118" s="5"/>
      <c r="AM118" s="5"/>
      <c r="AN118" s="5"/>
      <c r="AO118" s="6"/>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row>
    <row r="119" spans="1:86" x14ac:dyDescent="0.3">
      <c r="A119" s="29" t="str">
        <f>HYPERLINK("#Self_Scoring", Self_Scoring)</f>
        <v>Self-Scoring Checklist - Submit with Initial Application Only</v>
      </c>
      <c r="B119" s="27"/>
      <c r="C119" s="50" t="s">
        <v>73</v>
      </c>
      <c r="D119" s="50"/>
      <c r="E119" s="51">
        <f>SUM(E114:E118)</f>
        <v>0</v>
      </c>
      <c r="F119" s="52">
        <f>SUM(F114:F118)</f>
        <v>0</v>
      </c>
      <c r="G119" s="52">
        <f t="shared" ref="G119:AJ119" si="41">SUM(G114:G118)</f>
        <v>0</v>
      </c>
      <c r="H119" s="52">
        <f t="shared" si="41"/>
        <v>0</v>
      </c>
      <c r="I119" s="52">
        <f t="shared" si="41"/>
        <v>0</v>
      </c>
      <c r="J119" s="52">
        <f t="shared" si="41"/>
        <v>0</v>
      </c>
      <c r="K119" s="52">
        <f t="shared" si="41"/>
        <v>0</v>
      </c>
      <c r="L119" s="52">
        <f t="shared" si="41"/>
        <v>0</v>
      </c>
      <c r="M119" s="52">
        <f t="shared" si="41"/>
        <v>0</v>
      </c>
      <c r="N119" s="52">
        <f t="shared" si="41"/>
        <v>0</v>
      </c>
      <c r="O119" s="52">
        <f t="shared" si="41"/>
        <v>0</v>
      </c>
      <c r="P119" s="52">
        <f t="shared" si="41"/>
        <v>0</v>
      </c>
      <c r="Q119" s="52">
        <f t="shared" si="41"/>
        <v>0</v>
      </c>
      <c r="R119" s="52">
        <f t="shared" si="41"/>
        <v>0</v>
      </c>
      <c r="S119" s="52">
        <f t="shared" si="41"/>
        <v>0</v>
      </c>
      <c r="T119" s="52">
        <f t="shared" si="41"/>
        <v>0</v>
      </c>
      <c r="U119" s="52">
        <f t="shared" si="41"/>
        <v>0</v>
      </c>
      <c r="V119" s="52">
        <f t="shared" si="41"/>
        <v>0</v>
      </c>
      <c r="W119" s="52">
        <f t="shared" si="41"/>
        <v>0</v>
      </c>
      <c r="X119" s="52">
        <f t="shared" si="41"/>
        <v>0</v>
      </c>
      <c r="Y119" s="52">
        <f t="shared" si="41"/>
        <v>0</v>
      </c>
      <c r="Z119" s="52">
        <f t="shared" si="41"/>
        <v>0</v>
      </c>
      <c r="AA119" s="52">
        <f t="shared" si="41"/>
        <v>0</v>
      </c>
      <c r="AB119" s="52">
        <f t="shared" si="41"/>
        <v>0</v>
      </c>
      <c r="AC119" s="52">
        <f t="shared" si="41"/>
        <v>0</v>
      </c>
      <c r="AD119" s="52">
        <f t="shared" si="41"/>
        <v>0</v>
      </c>
      <c r="AE119" s="52">
        <f t="shared" si="41"/>
        <v>0</v>
      </c>
      <c r="AF119" s="52">
        <f t="shared" si="41"/>
        <v>0</v>
      </c>
      <c r="AG119" s="52">
        <f t="shared" si="41"/>
        <v>0</v>
      </c>
      <c r="AH119" s="52">
        <f t="shared" si="41"/>
        <v>0</v>
      </c>
      <c r="AI119" s="52">
        <f t="shared" si="41"/>
        <v>0</v>
      </c>
      <c r="AJ119" s="52">
        <f t="shared" si="41"/>
        <v>0</v>
      </c>
      <c r="AK119" s="27"/>
      <c r="AL119" s="5"/>
      <c r="AM119" s="5"/>
      <c r="AN119" s="5"/>
      <c r="AO119" s="6"/>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row>
    <row r="120" spans="1:86" ht="15.6" x14ac:dyDescent="0.3">
      <c r="B120" s="27"/>
      <c r="C120" s="53" t="s">
        <v>74</v>
      </c>
      <c r="D120" s="53"/>
      <c r="E120" s="139"/>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27"/>
      <c r="AL120" s="5"/>
      <c r="AM120" s="5"/>
      <c r="AN120" s="5"/>
      <c r="AO120" s="6"/>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row>
    <row r="121" spans="1:86" x14ac:dyDescent="0.3">
      <c r="B121" s="27"/>
      <c r="C121" s="41" t="str" cm="1">
        <f t="array" ref="C121:D121">'[1]16. Project Costs'!C123:D123</f>
        <v>Organizational (Partnership)</v>
      </c>
      <c r="D121" s="42">
        <v>0</v>
      </c>
      <c r="E121" s="149">
        <v>0</v>
      </c>
      <c r="F121" s="43">
        <f t="shared" ref="F121:F124" si="42">+E121-SUM(G121:AJ121)</f>
        <v>0</v>
      </c>
      <c r="G121" s="44">
        <f>+E121</f>
        <v>0</v>
      </c>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27"/>
      <c r="AL121" s="5"/>
      <c r="AM121" s="5"/>
      <c r="AN121" s="5"/>
      <c r="AO121" s="6"/>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row>
    <row r="122" spans="1:86" x14ac:dyDescent="0.3">
      <c r="B122" s="27"/>
      <c r="C122" s="41" t="s">
        <v>75</v>
      </c>
      <c r="D122" s="42"/>
      <c r="E122" s="149">
        <v>0</v>
      </c>
      <c r="F122" s="43">
        <f t="shared" si="42"/>
        <v>0</v>
      </c>
      <c r="G122" s="44">
        <f>+E122</f>
        <v>0</v>
      </c>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27"/>
      <c r="AL122" s="5"/>
      <c r="AM122" s="5"/>
      <c r="AN122" s="5"/>
      <c r="AO122" s="6"/>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row>
    <row r="123" spans="1:86" hidden="1" x14ac:dyDescent="0.3">
      <c r="B123" s="27"/>
      <c r="C123" s="41" t="str" cm="1">
        <f t="array" ref="C123:D123">'[1]16. Project Costs'!C124:D124</f>
        <v>Other Syndication Costs</v>
      </c>
      <c r="D123" s="42">
        <v>0</v>
      </c>
      <c r="E123" s="149">
        <v>0</v>
      </c>
      <c r="F123" s="43">
        <f t="shared" si="42"/>
        <v>0</v>
      </c>
      <c r="G123" s="44">
        <f>+E123</f>
        <v>0</v>
      </c>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27"/>
      <c r="AL123" s="5"/>
      <c r="AM123" s="5"/>
      <c r="AN123" s="5"/>
      <c r="AO123" s="6"/>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row>
    <row r="124" spans="1:86" x14ac:dyDescent="0.3">
      <c r="B124" s="27"/>
      <c r="C124" s="41" t="str" cm="1">
        <f t="array" ref="C124:D124">'[1]16. Project Costs'!C126:D126</f>
        <v>Other Syndication Costs</v>
      </c>
      <c r="D124" s="46">
        <v>0</v>
      </c>
      <c r="E124" s="149">
        <v>0</v>
      </c>
      <c r="F124" s="43">
        <f t="shared" si="42"/>
        <v>0</v>
      </c>
      <c r="G124" s="44">
        <f>+E124</f>
        <v>0</v>
      </c>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27"/>
      <c r="AL124" s="5"/>
      <c r="AM124" s="5"/>
      <c r="AN124" s="5"/>
      <c r="AO124" s="6"/>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row>
    <row r="125" spans="1:86" x14ac:dyDescent="0.3">
      <c r="B125" s="27"/>
      <c r="C125" s="50" t="s">
        <v>76</v>
      </c>
      <c r="D125" s="50"/>
      <c r="E125" s="51">
        <f>SUM(E121:E124)</f>
        <v>0</v>
      </c>
      <c r="F125" s="52">
        <f>SUM(F121:F124)</f>
        <v>0</v>
      </c>
      <c r="G125" s="52">
        <f t="shared" ref="G125:AJ125" si="43">SUM(G121:G124)</f>
        <v>0</v>
      </c>
      <c r="H125" s="52">
        <f t="shared" si="43"/>
        <v>0</v>
      </c>
      <c r="I125" s="52">
        <f t="shared" si="43"/>
        <v>0</v>
      </c>
      <c r="J125" s="52">
        <f t="shared" si="43"/>
        <v>0</v>
      </c>
      <c r="K125" s="52">
        <f t="shared" si="43"/>
        <v>0</v>
      </c>
      <c r="L125" s="52">
        <f t="shared" si="43"/>
        <v>0</v>
      </c>
      <c r="M125" s="52">
        <f t="shared" si="43"/>
        <v>0</v>
      </c>
      <c r="N125" s="52">
        <f t="shared" si="43"/>
        <v>0</v>
      </c>
      <c r="O125" s="52">
        <f t="shared" si="43"/>
        <v>0</v>
      </c>
      <c r="P125" s="52">
        <f t="shared" si="43"/>
        <v>0</v>
      </c>
      <c r="Q125" s="52">
        <f t="shared" si="43"/>
        <v>0</v>
      </c>
      <c r="R125" s="52">
        <f t="shared" si="43"/>
        <v>0</v>
      </c>
      <c r="S125" s="52">
        <f t="shared" si="43"/>
        <v>0</v>
      </c>
      <c r="T125" s="52">
        <f t="shared" si="43"/>
        <v>0</v>
      </c>
      <c r="U125" s="52">
        <f t="shared" si="43"/>
        <v>0</v>
      </c>
      <c r="V125" s="52">
        <f t="shared" si="43"/>
        <v>0</v>
      </c>
      <c r="W125" s="52">
        <f t="shared" si="43"/>
        <v>0</v>
      </c>
      <c r="X125" s="52">
        <f t="shared" si="43"/>
        <v>0</v>
      </c>
      <c r="Y125" s="52">
        <f t="shared" si="43"/>
        <v>0</v>
      </c>
      <c r="Z125" s="52">
        <f t="shared" si="43"/>
        <v>0</v>
      </c>
      <c r="AA125" s="52">
        <f t="shared" si="43"/>
        <v>0</v>
      </c>
      <c r="AB125" s="52">
        <f t="shared" si="43"/>
        <v>0</v>
      </c>
      <c r="AC125" s="52">
        <f t="shared" si="43"/>
        <v>0</v>
      </c>
      <c r="AD125" s="52">
        <f t="shared" si="43"/>
        <v>0</v>
      </c>
      <c r="AE125" s="52">
        <f t="shared" si="43"/>
        <v>0</v>
      </c>
      <c r="AF125" s="52">
        <f t="shared" si="43"/>
        <v>0</v>
      </c>
      <c r="AG125" s="52">
        <f t="shared" si="43"/>
        <v>0</v>
      </c>
      <c r="AH125" s="52">
        <f t="shared" si="43"/>
        <v>0</v>
      </c>
      <c r="AI125" s="52">
        <f t="shared" si="43"/>
        <v>0</v>
      </c>
      <c r="AJ125" s="52">
        <f t="shared" si="43"/>
        <v>0</v>
      </c>
      <c r="AK125" s="27"/>
      <c r="AL125" s="5"/>
      <c r="AM125" s="5"/>
      <c r="AN125" s="5"/>
      <c r="AO125" s="6"/>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row>
    <row r="126" spans="1:86" ht="15.6" x14ac:dyDescent="0.3">
      <c r="B126" s="27"/>
      <c r="C126" s="53" t="s">
        <v>77</v>
      </c>
      <c r="D126" s="53"/>
      <c r="E126" s="139"/>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27"/>
      <c r="AL126" s="5"/>
      <c r="AM126" s="5"/>
      <c r="AN126" s="5"/>
      <c r="AO126" s="6"/>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row>
    <row r="127" spans="1:86" x14ac:dyDescent="0.3">
      <c r="B127" s="27"/>
      <c r="C127" s="41" t="str" cm="1">
        <f t="array" ref="C127:D127">'[1]16. Project Costs'!C129:D129</f>
        <v>Operating Reserve</v>
      </c>
      <c r="D127" s="42">
        <v>0</v>
      </c>
      <c r="E127" s="149">
        <v>0</v>
      </c>
      <c r="F127" s="43">
        <f t="shared" ref="F127:F134" si="44">+E127-SUM(G127:AJ127)</f>
        <v>0</v>
      </c>
      <c r="G127" s="44"/>
      <c r="H127" s="44"/>
      <c r="I127" s="44"/>
      <c r="J127" s="44"/>
      <c r="K127" s="44"/>
      <c r="L127" s="44"/>
      <c r="M127" s="44"/>
      <c r="N127" s="44"/>
      <c r="O127" s="44"/>
      <c r="P127" s="44"/>
      <c r="Q127" s="44"/>
      <c r="R127" s="44"/>
      <c r="S127" s="44">
        <f>+E127</f>
        <v>0</v>
      </c>
      <c r="T127" s="44"/>
      <c r="U127" s="44"/>
      <c r="V127" s="44"/>
      <c r="W127" s="44"/>
      <c r="X127" s="44"/>
      <c r="Y127" s="44"/>
      <c r="Z127" s="44"/>
      <c r="AA127" s="44"/>
      <c r="AB127" s="44"/>
      <c r="AC127" s="44"/>
      <c r="AD127" s="44"/>
      <c r="AE127" s="44"/>
      <c r="AF127" s="44"/>
      <c r="AG127" s="44"/>
      <c r="AH127" s="44"/>
      <c r="AI127" s="44"/>
      <c r="AJ127" s="44"/>
      <c r="AK127" s="27"/>
      <c r="AL127" s="5"/>
      <c r="AM127" s="5"/>
      <c r="AN127" s="5"/>
      <c r="AO127" s="6"/>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row>
    <row r="128" spans="1:86" x14ac:dyDescent="0.3">
      <c r="B128" s="27"/>
      <c r="C128" s="41" t="str" cm="1">
        <f t="array" ref="C128:D128">'[1]16. Project Costs'!C130:D130</f>
        <v>Replacement Reserve</v>
      </c>
      <c r="D128" s="42">
        <v>0</v>
      </c>
      <c r="E128" s="149">
        <v>0</v>
      </c>
      <c r="F128" s="43">
        <f t="shared" si="44"/>
        <v>0</v>
      </c>
      <c r="G128" s="44"/>
      <c r="H128" s="44"/>
      <c r="I128" s="44"/>
      <c r="J128" s="44"/>
      <c r="K128" s="44"/>
      <c r="L128" s="44"/>
      <c r="M128" s="44"/>
      <c r="N128" s="44"/>
      <c r="O128" s="44"/>
      <c r="P128" s="44"/>
      <c r="Q128" s="44"/>
      <c r="R128" s="44"/>
      <c r="S128" s="44">
        <f>+E128</f>
        <v>0</v>
      </c>
      <c r="T128" s="44"/>
      <c r="U128" s="44"/>
      <c r="V128" s="44"/>
      <c r="W128" s="44"/>
      <c r="X128" s="44"/>
      <c r="Y128" s="44"/>
      <c r="Z128" s="44"/>
      <c r="AA128" s="44"/>
      <c r="AB128" s="44"/>
      <c r="AC128" s="44"/>
      <c r="AD128" s="44"/>
      <c r="AE128" s="44"/>
      <c r="AF128" s="44"/>
      <c r="AG128" s="44"/>
      <c r="AH128" s="44"/>
      <c r="AI128" s="44"/>
      <c r="AJ128" s="44"/>
      <c r="AK128" s="27"/>
      <c r="AL128" s="5"/>
      <c r="AM128" s="5"/>
      <c r="AN128" s="5"/>
      <c r="AO128" s="6"/>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row>
    <row r="129" spans="2:86" x14ac:dyDescent="0.3">
      <c r="B129" s="27"/>
      <c r="C129" s="41" t="str" cm="1">
        <f t="array" ref="C129:D129">'[1]16. Project Costs'!C131:D131</f>
        <v>Lease-up Operating Deficit</v>
      </c>
      <c r="D129" s="42">
        <v>0</v>
      </c>
      <c r="E129" s="149">
        <v>0</v>
      </c>
      <c r="F129" s="43">
        <f t="shared" si="44"/>
        <v>0</v>
      </c>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27"/>
      <c r="AL129" s="5"/>
      <c r="AM129" s="5"/>
      <c r="AN129" s="5"/>
      <c r="AO129" s="6"/>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row>
    <row r="130" spans="2:86" x14ac:dyDescent="0.3">
      <c r="B130" s="27"/>
      <c r="C130" s="41" t="str" cm="1">
        <f t="array" ref="C130:D130">'[1]16. Project Costs'!C132:D132</f>
        <v>Debt Service Reserve</v>
      </c>
      <c r="D130" s="42">
        <v>0</v>
      </c>
      <c r="E130" s="149">
        <v>0</v>
      </c>
      <c r="F130" s="43">
        <f t="shared" si="44"/>
        <v>0</v>
      </c>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27"/>
      <c r="AL130" s="5"/>
      <c r="AM130" s="5"/>
      <c r="AN130" s="5"/>
      <c r="AO130" s="6"/>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row>
    <row r="131" spans="2:86" x14ac:dyDescent="0.3">
      <c r="B131" s="27"/>
      <c r="C131" s="41" t="str" cm="1">
        <f t="array" ref="C131:D131">'[1]16. Project Costs'!C133:D133</f>
        <v>Capital Needs Reserve</v>
      </c>
      <c r="D131" s="42">
        <v>0</v>
      </c>
      <c r="E131" s="149">
        <v>0</v>
      </c>
      <c r="F131" s="43">
        <f t="shared" si="44"/>
        <v>0</v>
      </c>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27"/>
      <c r="AL131" s="5"/>
      <c r="AM131" s="5"/>
      <c r="AN131" s="5"/>
      <c r="AO131" s="6"/>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row>
    <row r="132" spans="2:86" x14ac:dyDescent="0.3">
      <c r="B132" s="27"/>
      <c r="C132" s="41" t="str" cm="1">
        <f t="array" ref="C132:D132">'[1]16. Project Costs'!C134:D134</f>
        <v>Other Reserves</v>
      </c>
      <c r="D132" s="42">
        <v>0</v>
      </c>
      <c r="E132" s="149">
        <v>0</v>
      </c>
      <c r="F132" s="43">
        <f t="shared" si="44"/>
        <v>0</v>
      </c>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27"/>
      <c r="AL132" s="5"/>
      <c r="AM132" s="5"/>
      <c r="AN132" s="5"/>
      <c r="AO132" s="6"/>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row>
    <row r="133" spans="2:86" x14ac:dyDescent="0.3">
      <c r="B133" s="27"/>
      <c r="C133" s="41" t="str" cm="1">
        <f t="array" ref="C133:D133">'[1]16. Project Costs'!C135:D135</f>
        <v>Escrows</v>
      </c>
      <c r="D133" s="42">
        <v>0</v>
      </c>
      <c r="E133" s="149">
        <v>0</v>
      </c>
      <c r="F133" s="43">
        <f t="shared" si="44"/>
        <v>0</v>
      </c>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27"/>
      <c r="AL133" s="5"/>
      <c r="AM133" s="5"/>
      <c r="AN133" s="5"/>
      <c r="AO133" s="6"/>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row>
    <row r="134" spans="2:86" hidden="1" x14ac:dyDescent="0.3">
      <c r="B134" s="27"/>
      <c r="C134" s="79" t="str" cm="1">
        <f t="array" ref="C134:D134">'[1]16. Project Costs'!C136:D136</f>
        <v>Other Capitalized Reserves</v>
      </c>
      <c r="D134" s="79">
        <v>0</v>
      </c>
      <c r="E134" s="138">
        <f>Other_Cap_Reserves_Total</f>
        <v>0</v>
      </c>
      <c r="F134" s="43">
        <f t="shared" si="44"/>
        <v>0</v>
      </c>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27"/>
      <c r="AL134" s="5"/>
      <c r="AM134" s="5"/>
      <c r="AN134" s="5"/>
      <c r="AO134" s="6"/>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row>
    <row r="135" spans="2:86" x14ac:dyDescent="0.3">
      <c r="B135" s="27"/>
      <c r="C135" s="50" t="s">
        <v>78</v>
      </c>
      <c r="D135" s="50"/>
      <c r="E135" s="51">
        <f t="shared" ref="E135:AJ135" si="45">SUM(E127:E134)</f>
        <v>0</v>
      </c>
      <c r="F135" s="52">
        <f t="shared" si="45"/>
        <v>0</v>
      </c>
      <c r="G135" s="52">
        <f t="shared" si="45"/>
        <v>0</v>
      </c>
      <c r="H135" s="52">
        <f t="shared" si="45"/>
        <v>0</v>
      </c>
      <c r="I135" s="52">
        <f t="shared" si="45"/>
        <v>0</v>
      </c>
      <c r="J135" s="52">
        <f t="shared" si="45"/>
        <v>0</v>
      </c>
      <c r="K135" s="52">
        <f t="shared" si="45"/>
        <v>0</v>
      </c>
      <c r="L135" s="52">
        <f t="shared" si="45"/>
        <v>0</v>
      </c>
      <c r="M135" s="52">
        <f t="shared" si="45"/>
        <v>0</v>
      </c>
      <c r="N135" s="52">
        <f t="shared" si="45"/>
        <v>0</v>
      </c>
      <c r="O135" s="52">
        <f t="shared" si="45"/>
        <v>0</v>
      </c>
      <c r="P135" s="52">
        <f t="shared" si="45"/>
        <v>0</v>
      </c>
      <c r="Q135" s="52">
        <f t="shared" si="45"/>
        <v>0</v>
      </c>
      <c r="R135" s="52">
        <f t="shared" si="45"/>
        <v>0</v>
      </c>
      <c r="S135" s="52">
        <f t="shared" si="45"/>
        <v>0</v>
      </c>
      <c r="T135" s="52">
        <f t="shared" si="45"/>
        <v>0</v>
      </c>
      <c r="U135" s="52">
        <f t="shared" si="45"/>
        <v>0</v>
      </c>
      <c r="V135" s="52">
        <f t="shared" si="45"/>
        <v>0</v>
      </c>
      <c r="W135" s="52">
        <f t="shared" si="45"/>
        <v>0</v>
      </c>
      <c r="X135" s="52">
        <f t="shared" si="45"/>
        <v>0</v>
      </c>
      <c r="Y135" s="52">
        <f t="shared" si="45"/>
        <v>0</v>
      </c>
      <c r="Z135" s="52">
        <f t="shared" si="45"/>
        <v>0</v>
      </c>
      <c r="AA135" s="52">
        <f t="shared" si="45"/>
        <v>0</v>
      </c>
      <c r="AB135" s="52">
        <f t="shared" si="45"/>
        <v>0</v>
      </c>
      <c r="AC135" s="52">
        <f t="shared" si="45"/>
        <v>0</v>
      </c>
      <c r="AD135" s="52">
        <f t="shared" si="45"/>
        <v>0</v>
      </c>
      <c r="AE135" s="52">
        <f t="shared" si="45"/>
        <v>0</v>
      </c>
      <c r="AF135" s="52">
        <f t="shared" si="45"/>
        <v>0</v>
      </c>
      <c r="AG135" s="52">
        <f t="shared" si="45"/>
        <v>0</v>
      </c>
      <c r="AH135" s="52">
        <f t="shared" si="45"/>
        <v>0</v>
      </c>
      <c r="AI135" s="52">
        <f t="shared" si="45"/>
        <v>0</v>
      </c>
      <c r="AJ135" s="52">
        <f t="shared" si="45"/>
        <v>0</v>
      </c>
      <c r="AK135" s="27"/>
      <c r="AL135" s="5"/>
      <c r="AM135" s="5"/>
      <c r="AN135" s="5"/>
      <c r="AO135" s="6"/>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row>
    <row r="136" spans="2:86" ht="15.6" x14ac:dyDescent="0.3">
      <c r="B136" s="27"/>
      <c r="C136" s="53" t="s">
        <v>79</v>
      </c>
      <c r="D136" s="53"/>
      <c r="E136" s="139"/>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27"/>
      <c r="AL136" s="5"/>
      <c r="AM136" s="5"/>
      <c r="AN136" s="5"/>
      <c r="AO136" s="6"/>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row>
    <row r="137" spans="2:86" x14ac:dyDescent="0.3">
      <c r="B137" s="27"/>
      <c r="C137" s="55" t="s">
        <v>80</v>
      </c>
      <c r="D137" s="55"/>
      <c r="E137" s="140"/>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27"/>
      <c r="AL137" s="5"/>
      <c r="AM137" s="5"/>
      <c r="AN137" s="5"/>
      <c r="AO137" s="6"/>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row>
    <row r="138" spans="2:86" x14ac:dyDescent="0.3">
      <c r="B138" s="27"/>
      <c r="C138" s="60" t="str" cm="1">
        <f t="array" ref="C138:D138">'[1]16. Project Costs'!C140:D140</f>
        <v>Appraisal(s)</v>
      </c>
      <c r="D138" s="42">
        <v>0</v>
      </c>
      <c r="E138" s="149">
        <v>0</v>
      </c>
      <c r="F138" s="43">
        <f t="shared" ref="F138:F141" si="46">+E138-SUM(G138:AJ138)</f>
        <v>0</v>
      </c>
      <c r="G138" s="44">
        <f>+E138</f>
        <v>0</v>
      </c>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27"/>
      <c r="AL138" s="5"/>
      <c r="AM138" s="5"/>
      <c r="AN138" s="5"/>
      <c r="AO138" s="6"/>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row>
    <row r="139" spans="2:86" x14ac:dyDescent="0.3">
      <c r="B139" s="27"/>
      <c r="C139" s="60" t="str" cm="1">
        <f t="array" ref="C139:D139">'[1]16. Project Costs'!C141:D141</f>
        <v>Market Study</v>
      </c>
      <c r="D139" s="42">
        <v>0</v>
      </c>
      <c r="E139" s="149">
        <v>0</v>
      </c>
      <c r="F139" s="43">
        <f t="shared" si="46"/>
        <v>0</v>
      </c>
      <c r="G139" s="44">
        <f>+E139</f>
        <v>0</v>
      </c>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27"/>
      <c r="AL139" s="5"/>
      <c r="AM139" s="5"/>
      <c r="AN139" s="5"/>
      <c r="AO139" s="6"/>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row>
    <row r="140" spans="2:86" x14ac:dyDescent="0.3">
      <c r="B140" s="27"/>
      <c r="C140" s="60" t="str" cm="1">
        <f t="array" ref="C140:D140">'[1]16. Project Costs'!C142:D142</f>
        <v>Capital Needs Assessment Report</v>
      </c>
      <c r="D140" s="42">
        <v>0</v>
      </c>
      <c r="E140" s="149">
        <v>0</v>
      </c>
      <c r="F140" s="43">
        <f t="shared" si="46"/>
        <v>0</v>
      </c>
      <c r="G140" s="44">
        <f>+E140</f>
        <v>0</v>
      </c>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27"/>
      <c r="AL140" s="5"/>
      <c r="AM140" s="5"/>
      <c r="AN140" s="5"/>
      <c r="AO140" s="6"/>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row>
    <row r="141" spans="2:86" x14ac:dyDescent="0.3">
      <c r="B141" s="27"/>
      <c r="C141" s="45" t="str" cm="1">
        <f t="array" ref="C141:D141">'[1]16. Project Costs'!C143:D143</f>
        <v>Environmental Report</v>
      </c>
      <c r="D141" s="46">
        <v>0</v>
      </c>
      <c r="E141" s="149">
        <v>0</v>
      </c>
      <c r="F141" s="43">
        <f t="shared" si="46"/>
        <v>0</v>
      </c>
      <c r="G141" s="44">
        <f>+E141</f>
        <v>0</v>
      </c>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27"/>
      <c r="AL141" s="5"/>
      <c r="AM141" s="5"/>
      <c r="AN141" s="5"/>
      <c r="AO141" s="6"/>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row>
    <row r="142" spans="2:86" hidden="1" x14ac:dyDescent="0.3">
      <c r="B142" s="27"/>
      <c r="C142" s="57" t="s">
        <v>81</v>
      </c>
      <c r="D142" s="57"/>
      <c r="E142" s="141">
        <f t="shared" ref="E142:AJ142" si="47">SUM(E138:E141)</f>
        <v>0</v>
      </c>
      <c r="F142" s="58">
        <f t="shared" si="47"/>
        <v>0</v>
      </c>
      <c r="G142" s="58">
        <f t="shared" si="47"/>
        <v>0</v>
      </c>
      <c r="H142" s="58">
        <f t="shared" si="47"/>
        <v>0</v>
      </c>
      <c r="I142" s="58">
        <f t="shared" si="47"/>
        <v>0</v>
      </c>
      <c r="J142" s="58">
        <f t="shared" si="47"/>
        <v>0</v>
      </c>
      <c r="K142" s="58">
        <f t="shared" si="47"/>
        <v>0</v>
      </c>
      <c r="L142" s="58">
        <f t="shared" si="47"/>
        <v>0</v>
      </c>
      <c r="M142" s="58">
        <f t="shared" si="47"/>
        <v>0</v>
      </c>
      <c r="N142" s="58">
        <f t="shared" si="47"/>
        <v>0</v>
      </c>
      <c r="O142" s="58">
        <f t="shared" si="47"/>
        <v>0</v>
      </c>
      <c r="P142" s="58">
        <f t="shared" si="47"/>
        <v>0</v>
      </c>
      <c r="Q142" s="58">
        <f t="shared" si="47"/>
        <v>0</v>
      </c>
      <c r="R142" s="58">
        <f t="shared" si="47"/>
        <v>0</v>
      </c>
      <c r="S142" s="58">
        <f t="shared" si="47"/>
        <v>0</v>
      </c>
      <c r="T142" s="58">
        <f t="shared" si="47"/>
        <v>0</v>
      </c>
      <c r="U142" s="58">
        <f t="shared" si="47"/>
        <v>0</v>
      </c>
      <c r="V142" s="58">
        <f t="shared" si="47"/>
        <v>0</v>
      </c>
      <c r="W142" s="58">
        <f t="shared" si="47"/>
        <v>0</v>
      </c>
      <c r="X142" s="58">
        <f t="shared" si="47"/>
        <v>0</v>
      </c>
      <c r="Y142" s="58">
        <f t="shared" si="47"/>
        <v>0</v>
      </c>
      <c r="Z142" s="58">
        <f t="shared" si="47"/>
        <v>0</v>
      </c>
      <c r="AA142" s="58">
        <f t="shared" si="47"/>
        <v>0</v>
      </c>
      <c r="AB142" s="58">
        <f t="shared" si="47"/>
        <v>0</v>
      </c>
      <c r="AC142" s="58">
        <f t="shared" si="47"/>
        <v>0</v>
      </c>
      <c r="AD142" s="58">
        <f t="shared" si="47"/>
        <v>0</v>
      </c>
      <c r="AE142" s="58">
        <f t="shared" si="47"/>
        <v>0</v>
      </c>
      <c r="AF142" s="58">
        <f t="shared" si="47"/>
        <v>0</v>
      </c>
      <c r="AG142" s="58">
        <f t="shared" si="47"/>
        <v>0</v>
      </c>
      <c r="AH142" s="58">
        <f t="shared" si="47"/>
        <v>0</v>
      </c>
      <c r="AI142" s="58">
        <f t="shared" si="47"/>
        <v>0</v>
      </c>
      <c r="AJ142" s="58">
        <f t="shared" si="47"/>
        <v>0</v>
      </c>
      <c r="AK142" s="27"/>
      <c r="AL142" s="5"/>
      <c r="AM142" s="5"/>
      <c r="AN142" s="5"/>
      <c r="AO142" s="6"/>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row>
    <row r="143" spans="2:86" hidden="1" x14ac:dyDescent="0.3">
      <c r="B143" s="27"/>
      <c r="C143" s="55" t="s">
        <v>82</v>
      </c>
      <c r="D143" s="55"/>
      <c r="E143" s="140"/>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27"/>
      <c r="AL143" s="5"/>
      <c r="AM143" s="5"/>
      <c r="AN143" s="5"/>
      <c r="AO143" s="6"/>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row>
    <row r="144" spans="2:86" hidden="1" x14ac:dyDescent="0.3">
      <c r="B144" s="27"/>
      <c r="C144" s="60" t="str">
        <f>'[1]16. Project Costs'!C146</f>
        <v>Environmental Review Fee (HOME/Risk Share)</v>
      </c>
      <c r="D144" s="60"/>
      <c r="E144" s="138">
        <f>Environmental_Review_Total</f>
        <v>0</v>
      </c>
      <c r="F144" s="43">
        <f t="shared" ref="F144:F149" si="48">+E144-SUM(G144:AJ144)</f>
        <v>0</v>
      </c>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27"/>
      <c r="AL144" s="5"/>
      <c r="AM144" s="5"/>
      <c r="AN144" s="5"/>
      <c r="AO144" s="6"/>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row>
    <row r="145" spans="2:86" hidden="1" x14ac:dyDescent="0.3">
      <c r="B145" s="27"/>
      <c r="C145" s="60" t="str">
        <f>'[1]16. Project Costs'!C147</f>
        <v xml:space="preserve">Soils Geotech Report / Soil Borings Expense </v>
      </c>
      <c r="D145" s="60"/>
      <c r="E145" s="138">
        <f>Soils_Total</f>
        <v>0</v>
      </c>
      <c r="F145" s="43">
        <f t="shared" si="48"/>
        <v>0</v>
      </c>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27"/>
      <c r="AL145" s="5"/>
      <c r="AM145" s="5"/>
      <c r="AN145" s="5"/>
      <c r="AO145" s="6"/>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row>
    <row r="146" spans="2:86" hidden="1" x14ac:dyDescent="0.3">
      <c r="B146" s="27"/>
      <c r="C146" s="60" t="str">
        <f>'[1]16. Project Costs'!C148</f>
        <v>Boundary / Topo-Survey</v>
      </c>
      <c r="D146" s="60"/>
      <c r="E146" s="138">
        <f>Boundry_Total</f>
        <v>0</v>
      </c>
      <c r="F146" s="43">
        <f t="shared" si="48"/>
        <v>0</v>
      </c>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27"/>
      <c r="AL146" s="5"/>
      <c r="AM146" s="5"/>
      <c r="AN146" s="5"/>
      <c r="AO146" s="6"/>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row>
    <row r="147" spans="2:86" hidden="1" x14ac:dyDescent="0.3">
      <c r="B147" s="27"/>
      <c r="C147" s="79" t="str">
        <f>'[1]16. Project Costs'!C149</f>
        <v>Third Party Review Fees</v>
      </c>
      <c r="D147" s="79"/>
      <c r="E147" s="138">
        <f>Third_Party_Review_Total</f>
        <v>0</v>
      </c>
      <c r="F147" s="43">
        <f t="shared" si="48"/>
        <v>0</v>
      </c>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27"/>
      <c r="AL147" s="5"/>
      <c r="AM147" s="5"/>
      <c r="AN147" s="5"/>
      <c r="AO147" s="6"/>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row>
    <row r="148" spans="2:86" hidden="1" x14ac:dyDescent="0.3">
      <c r="B148" s="27"/>
      <c r="C148" s="79" t="str">
        <f>'[1]16. Project Costs'!C150</f>
        <v>Other Zoning Study</v>
      </c>
      <c r="D148" s="79"/>
      <c r="E148" s="138">
        <f>Other_Zoning_Fees_Total</f>
        <v>0</v>
      </c>
      <c r="F148" s="43">
        <f t="shared" si="48"/>
        <v>0</v>
      </c>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27"/>
      <c r="AL148" s="5"/>
      <c r="AM148" s="5"/>
      <c r="AN148" s="5"/>
      <c r="AO148" s="6"/>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row>
    <row r="149" spans="2:86" hidden="1" x14ac:dyDescent="0.3">
      <c r="B149" s="27"/>
      <c r="C149" s="45" t="str">
        <f>'[1]16. Project Costs'!C151</f>
        <v>Other Reports &amp; Studies</v>
      </c>
      <c r="D149" s="45"/>
      <c r="E149" s="145">
        <f>Other_Reports_Total</f>
        <v>0</v>
      </c>
      <c r="F149" s="43">
        <f t="shared" si="48"/>
        <v>0</v>
      </c>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27"/>
      <c r="AL149" s="5"/>
      <c r="AM149" s="5"/>
      <c r="AN149" s="5"/>
      <c r="AO149" s="6"/>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row>
    <row r="150" spans="2:86" hidden="1" x14ac:dyDescent="0.3">
      <c r="B150" s="27"/>
      <c r="C150" s="57" t="s">
        <v>83</v>
      </c>
      <c r="D150" s="57"/>
      <c r="E150" s="141">
        <f t="shared" ref="E150:AJ150" si="49">SUM(E144:E149)</f>
        <v>0</v>
      </c>
      <c r="F150" s="58">
        <f t="shared" si="49"/>
        <v>0</v>
      </c>
      <c r="G150" s="58">
        <f t="shared" si="49"/>
        <v>0</v>
      </c>
      <c r="H150" s="58">
        <f t="shared" si="49"/>
        <v>0</v>
      </c>
      <c r="I150" s="58">
        <f t="shared" si="49"/>
        <v>0</v>
      </c>
      <c r="J150" s="58">
        <f t="shared" si="49"/>
        <v>0</v>
      </c>
      <c r="K150" s="58">
        <f t="shared" si="49"/>
        <v>0</v>
      </c>
      <c r="L150" s="58">
        <f t="shared" si="49"/>
        <v>0</v>
      </c>
      <c r="M150" s="58">
        <f t="shared" si="49"/>
        <v>0</v>
      </c>
      <c r="N150" s="58">
        <f t="shared" si="49"/>
        <v>0</v>
      </c>
      <c r="O150" s="58">
        <f t="shared" si="49"/>
        <v>0</v>
      </c>
      <c r="P150" s="58">
        <f t="shared" si="49"/>
        <v>0</v>
      </c>
      <c r="Q150" s="58">
        <f t="shared" si="49"/>
        <v>0</v>
      </c>
      <c r="R150" s="58">
        <f t="shared" si="49"/>
        <v>0</v>
      </c>
      <c r="S150" s="58">
        <f t="shared" si="49"/>
        <v>0</v>
      </c>
      <c r="T150" s="58">
        <f t="shared" si="49"/>
        <v>0</v>
      </c>
      <c r="U150" s="58">
        <f t="shared" si="49"/>
        <v>0</v>
      </c>
      <c r="V150" s="58">
        <f t="shared" si="49"/>
        <v>0</v>
      </c>
      <c r="W150" s="58">
        <f t="shared" si="49"/>
        <v>0</v>
      </c>
      <c r="X150" s="58">
        <f t="shared" si="49"/>
        <v>0</v>
      </c>
      <c r="Y150" s="58">
        <f t="shared" si="49"/>
        <v>0</v>
      </c>
      <c r="Z150" s="58">
        <f t="shared" si="49"/>
        <v>0</v>
      </c>
      <c r="AA150" s="58">
        <f t="shared" si="49"/>
        <v>0</v>
      </c>
      <c r="AB150" s="58">
        <f t="shared" si="49"/>
        <v>0</v>
      </c>
      <c r="AC150" s="58">
        <f t="shared" si="49"/>
        <v>0</v>
      </c>
      <c r="AD150" s="58">
        <f t="shared" si="49"/>
        <v>0</v>
      </c>
      <c r="AE150" s="58">
        <f t="shared" si="49"/>
        <v>0</v>
      </c>
      <c r="AF150" s="58">
        <f t="shared" si="49"/>
        <v>0</v>
      </c>
      <c r="AG150" s="58">
        <f t="shared" si="49"/>
        <v>0</v>
      </c>
      <c r="AH150" s="58">
        <f t="shared" si="49"/>
        <v>0</v>
      </c>
      <c r="AI150" s="58">
        <f t="shared" si="49"/>
        <v>0</v>
      </c>
      <c r="AJ150" s="58">
        <f t="shared" si="49"/>
        <v>0</v>
      </c>
      <c r="AK150" s="27"/>
      <c r="AL150" s="5"/>
      <c r="AM150" s="5"/>
      <c r="AN150" s="5"/>
      <c r="AO150" s="6"/>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row>
    <row r="151" spans="2:86" x14ac:dyDescent="0.3">
      <c r="B151" s="27"/>
      <c r="C151" s="50" t="s">
        <v>84</v>
      </c>
      <c r="D151" s="50"/>
      <c r="E151" s="150">
        <f t="shared" ref="E151:AJ151" si="50">+E150+E142</f>
        <v>0</v>
      </c>
      <c r="F151" s="52">
        <f t="shared" si="50"/>
        <v>0</v>
      </c>
      <c r="G151" s="52">
        <f t="shared" si="50"/>
        <v>0</v>
      </c>
      <c r="H151" s="52">
        <f t="shared" si="50"/>
        <v>0</v>
      </c>
      <c r="I151" s="52">
        <f t="shared" si="50"/>
        <v>0</v>
      </c>
      <c r="J151" s="52">
        <f t="shared" si="50"/>
        <v>0</v>
      </c>
      <c r="K151" s="52">
        <f t="shared" si="50"/>
        <v>0</v>
      </c>
      <c r="L151" s="52">
        <f t="shared" si="50"/>
        <v>0</v>
      </c>
      <c r="M151" s="52">
        <f t="shared" si="50"/>
        <v>0</v>
      </c>
      <c r="N151" s="52">
        <f t="shared" si="50"/>
        <v>0</v>
      </c>
      <c r="O151" s="52">
        <f t="shared" si="50"/>
        <v>0</v>
      </c>
      <c r="P151" s="52">
        <f t="shared" si="50"/>
        <v>0</v>
      </c>
      <c r="Q151" s="52">
        <f t="shared" si="50"/>
        <v>0</v>
      </c>
      <c r="R151" s="52">
        <f t="shared" si="50"/>
        <v>0</v>
      </c>
      <c r="S151" s="52">
        <f t="shared" si="50"/>
        <v>0</v>
      </c>
      <c r="T151" s="52">
        <f t="shared" si="50"/>
        <v>0</v>
      </c>
      <c r="U151" s="52">
        <f t="shared" si="50"/>
        <v>0</v>
      </c>
      <c r="V151" s="52">
        <f t="shared" si="50"/>
        <v>0</v>
      </c>
      <c r="W151" s="52">
        <f t="shared" si="50"/>
        <v>0</v>
      </c>
      <c r="X151" s="52">
        <f t="shared" si="50"/>
        <v>0</v>
      </c>
      <c r="Y151" s="52">
        <f t="shared" si="50"/>
        <v>0</v>
      </c>
      <c r="Z151" s="52">
        <f t="shared" si="50"/>
        <v>0</v>
      </c>
      <c r="AA151" s="52">
        <f t="shared" si="50"/>
        <v>0</v>
      </c>
      <c r="AB151" s="52">
        <f t="shared" si="50"/>
        <v>0</v>
      </c>
      <c r="AC151" s="52">
        <f t="shared" si="50"/>
        <v>0</v>
      </c>
      <c r="AD151" s="52">
        <f t="shared" si="50"/>
        <v>0</v>
      </c>
      <c r="AE151" s="52">
        <f t="shared" si="50"/>
        <v>0</v>
      </c>
      <c r="AF151" s="52">
        <f t="shared" si="50"/>
        <v>0</v>
      </c>
      <c r="AG151" s="52">
        <f t="shared" si="50"/>
        <v>0</v>
      </c>
      <c r="AH151" s="52">
        <f t="shared" si="50"/>
        <v>0</v>
      </c>
      <c r="AI151" s="52">
        <f t="shared" si="50"/>
        <v>0</v>
      </c>
      <c r="AJ151" s="52">
        <f t="shared" si="50"/>
        <v>0</v>
      </c>
      <c r="AK151" s="27"/>
      <c r="AL151" s="5"/>
      <c r="AM151" s="5"/>
      <c r="AN151" s="5"/>
      <c r="AO151" s="6"/>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row>
    <row r="152" spans="2:86" ht="15.6" x14ac:dyDescent="0.3">
      <c r="B152" s="27"/>
      <c r="C152" s="53" t="s">
        <v>85</v>
      </c>
      <c r="D152" s="53"/>
      <c r="E152" s="139"/>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27"/>
      <c r="AL152" s="5"/>
      <c r="AM152" s="5"/>
      <c r="AN152" s="5"/>
      <c r="AO152" s="6"/>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row>
    <row r="153" spans="2:86" x14ac:dyDescent="0.3">
      <c r="B153" s="27"/>
      <c r="C153" s="60" t="str">
        <f>'[1]16. Project Costs'!C155</f>
        <v xml:space="preserve">Federal / Historic Tax Credit Fees </v>
      </c>
      <c r="D153" s="60"/>
      <c r="E153" s="149">
        <v>0</v>
      </c>
      <c r="F153" s="43">
        <f t="shared" ref="F153:F165" si="51">+E153-SUM(G153:AJ153)</f>
        <v>0</v>
      </c>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27"/>
      <c r="AL153" s="5"/>
      <c r="AM153" s="5"/>
      <c r="AN153" s="5"/>
      <c r="AO153" s="6"/>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row>
    <row r="154" spans="2:86" x14ac:dyDescent="0.3">
      <c r="B154" s="27"/>
      <c r="C154" s="60" t="str">
        <f>'[1]16. Project Costs'!C156</f>
        <v xml:space="preserve">Tax Credit Application Fee </v>
      </c>
      <c r="D154" s="42"/>
      <c r="E154" s="149">
        <v>0</v>
      </c>
      <c r="F154" s="43">
        <f t="shared" si="51"/>
        <v>0</v>
      </c>
      <c r="G154" s="44">
        <f>+E154</f>
        <v>0</v>
      </c>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27"/>
      <c r="AL154" s="5"/>
      <c r="AM154" s="5"/>
      <c r="AN154" s="5"/>
      <c r="AO154" s="6"/>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row>
    <row r="155" spans="2:86" x14ac:dyDescent="0.3">
      <c r="B155" s="27"/>
      <c r="C155" s="60" t="str">
        <f>'[1]16. Project Costs'!C157</f>
        <v xml:space="preserve">Tax Credit Allocation Fee </v>
      </c>
      <c r="D155" s="42"/>
      <c r="E155" s="149">
        <v>0</v>
      </c>
      <c r="F155" s="43">
        <f t="shared" si="51"/>
        <v>0</v>
      </c>
      <c r="G155" s="44">
        <f>+E155</f>
        <v>0</v>
      </c>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27"/>
      <c r="AL155" s="5"/>
      <c r="AM155" s="5"/>
      <c r="AN155" s="5"/>
      <c r="AO155" s="6"/>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row>
    <row r="156" spans="2:86" x14ac:dyDescent="0.3">
      <c r="B156" s="27"/>
      <c r="C156" s="60" t="str" cm="1">
        <f t="array" ref="C156:D156">'[1]16. Project Costs'!C158:D158</f>
        <v>Tax Credit Compliance Fee</v>
      </c>
      <c r="D156" s="42">
        <v>0</v>
      </c>
      <c r="E156" s="149">
        <v>0</v>
      </c>
      <c r="F156" s="43">
        <f t="shared" si="51"/>
        <v>0</v>
      </c>
      <c r="G156" s="44">
        <f>+E156</f>
        <v>0</v>
      </c>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27"/>
      <c r="AL156" s="5"/>
      <c r="AM156" s="5"/>
      <c r="AN156" s="5"/>
      <c r="AO156" s="6"/>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row>
    <row r="157" spans="2:86" x14ac:dyDescent="0.3">
      <c r="B157" s="27"/>
      <c r="C157" s="41" t="str" cm="1">
        <f t="array" ref="C157:D157">'[1]16. Project Costs'!C159:D159</f>
        <v xml:space="preserve">Local / Building Permit Fees </v>
      </c>
      <c r="D157" s="42">
        <v>0</v>
      </c>
      <c r="E157" s="149">
        <v>0</v>
      </c>
      <c r="F157" s="43">
        <f t="shared" si="51"/>
        <v>0</v>
      </c>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27"/>
      <c r="AL157" s="5"/>
      <c r="AM157" s="5"/>
      <c r="AN157" s="5"/>
      <c r="AO157" s="6"/>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row>
    <row r="158" spans="2:86" x14ac:dyDescent="0.3">
      <c r="B158" s="27"/>
      <c r="C158" s="41" t="str" cm="1">
        <f t="array" ref="C158:D158">'[1]16. Project Costs'!C160:D160</f>
        <v>Water, Sewer and Impact Fees</v>
      </c>
      <c r="D158" s="42">
        <v>0</v>
      </c>
      <c r="E158" s="149">
        <v>0</v>
      </c>
      <c r="F158" s="43">
        <f t="shared" si="51"/>
        <v>0</v>
      </c>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27"/>
      <c r="AL158" s="5"/>
      <c r="AM158" s="5"/>
      <c r="AN158" s="5"/>
      <c r="AO158" s="6"/>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row>
    <row r="159" spans="2:86" x14ac:dyDescent="0.3">
      <c r="B159" s="27"/>
      <c r="C159" s="41" t="str" cm="1">
        <f t="array" ref="C159:D159">'[1]16. Project Costs'!C161:D161</f>
        <v>Net Local Development Impact Fees</v>
      </c>
      <c r="D159" s="42">
        <v>0</v>
      </c>
      <c r="E159" s="149">
        <v>0</v>
      </c>
      <c r="F159" s="43">
        <f t="shared" si="51"/>
        <v>0</v>
      </c>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27"/>
      <c r="AL159" s="5"/>
      <c r="AM159" s="5"/>
      <c r="AN159" s="5"/>
      <c r="AO159" s="6"/>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row>
    <row r="160" spans="2:86" x14ac:dyDescent="0.3">
      <c r="B160" s="27"/>
      <c r="C160" s="41" t="str" cm="1">
        <f t="array" ref="C160:D160">'[1]16. Project Costs'!C162:D162</f>
        <v>Commercial Costs - non-construction related)</v>
      </c>
      <c r="D160" s="42">
        <v>0</v>
      </c>
      <c r="E160" s="149">
        <v>0</v>
      </c>
      <c r="F160" s="43">
        <f t="shared" si="51"/>
        <v>0</v>
      </c>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27"/>
      <c r="AL160" s="5"/>
      <c r="AM160" s="5"/>
      <c r="AN160" s="5"/>
      <c r="AO160" s="6"/>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row>
    <row r="161" spans="2:86" x14ac:dyDescent="0.3">
      <c r="B161" s="27"/>
      <c r="C161" s="41" t="str" cm="1">
        <f t="array" ref="C161:D161">'[1]16. Project Costs'!C163:D163</f>
        <v>Cost Certification/Accounting Fees</v>
      </c>
      <c r="D161" s="42">
        <v>0</v>
      </c>
      <c r="E161" s="149">
        <v>0</v>
      </c>
      <c r="F161" s="43">
        <f t="shared" si="51"/>
        <v>0</v>
      </c>
      <c r="G161" s="44">
        <f>+E161</f>
        <v>0</v>
      </c>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27"/>
      <c r="AL161" s="5"/>
      <c r="AM161" s="5"/>
      <c r="AN161" s="5"/>
      <c r="AO161" s="6"/>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row>
    <row r="162" spans="2:86" x14ac:dyDescent="0.3">
      <c r="B162" s="27"/>
      <c r="C162" s="41" t="str" cm="1">
        <f t="array" ref="C162:D162">'[1]16. Project Costs'!C164:D164</f>
        <v>Rent-Up Marketing Expense</v>
      </c>
      <c r="D162" s="42">
        <v>0</v>
      </c>
      <c r="E162" s="149">
        <v>0</v>
      </c>
      <c r="F162" s="43">
        <f t="shared" si="51"/>
        <v>0</v>
      </c>
      <c r="G162" s="81"/>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27"/>
      <c r="AL162" s="5"/>
      <c r="AM162" s="5"/>
      <c r="AN162" s="5"/>
      <c r="AO162" s="6"/>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row>
    <row r="163" spans="2:86" x14ac:dyDescent="0.3">
      <c r="B163" s="27"/>
      <c r="C163" s="41" t="str" cm="1">
        <f t="array" ref="C163:D163">'[1]16. Project Costs'!C165:D165</f>
        <v>Commercial Marketing &amp; Rent-Up Expenses</v>
      </c>
      <c r="D163" s="42">
        <v>0</v>
      </c>
      <c r="E163" s="149">
        <v>0</v>
      </c>
      <c r="F163" s="43">
        <f t="shared" si="51"/>
        <v>0</v>
      </c>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27"/>
      <c r="AL163" s="5"/>
      <c r="AM163" s="5"/>
      <c r="AN163" s="5"/>
      <c r="AO163" s="6"/>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row>
    <row r="164" spans="2:86" x14ac:dyDescent="0.3">
      <c r="B164" s="27"/>
      <c r="C164" s="45" t="str" cm="1">
        <f t="array" ref="C164:D164">'[1]16. Project Costs'!C166:D166</f>
        <v>Mortgage Payoff - N/A for Tax Credit Application</v>
      </c>
      <c r="D164" s="46">
        <v>0</v>
      </c>
      <c r="E164" s="149">
        <v>0</v>
      </c>
      <c r="F164" s="43">
        <f t="shared" si="51"/>
        <v>0</v>
      </c>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27"/>
      <c r="AL164" s="5"/>
      <c r="AM164" s="5"/>
      <c r="AN164" s="5"/>
      <c r="AO164" s="6"/>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row>
    <row r="165" spans="2:86" x14ac:dyDescent="0.3">
      <c r="B165" s="27"/>
      <c r="C165" s="45" t="str" cm="1">
        <f t="array" ref="C165:D165">'[1]16. Project Costs'!C167:D167</f>
        <v>Other Miscellaneous Costs</v>
      </c>
      <c r="D165" s="46">
        <v>0</v>
      </c>
      <c r="E165" s="149">
        <v>0</v>
      </c>
      <c r="F165" s="43">
        <f t="shared" si="51"/>
        <v>0</v>
      </c>
      <c r="G165" s="44">
        <f>+E165</f>
        <v>0</v>
      </c>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27"/>
      <c r="AL165" s="5"/>
      <c r="AM165" s="5"/>
      <c r="AN165" s="5"/>
      <c r="AO165" s="6"/>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row>
    <row r="166" spans="2:86" x14ac:dyDescent="0.3">
      <c r="B166" s="27"/>
      <c r="C166" s="50" t="s">
        <v>86</v>
      </c>
      <c r="D166" s="50"/>
      <c r="E166" s="51">
        <f t="shared" ref="E166:AJ166" si="52">SUM(E153:E165)</f>
        <v>0</v>
      </c>
      <c r="F166" s="52">
        <f t="shared" si="52"/>
        <v>0</v>
      </c>
      <c r="G166" s="52">
        <f t="shared" si="52"/>
        <v>0</v>
      </c>
      <c r="H166" s="52">
        <f t="shared" si="52"/>
        <v>0</v>
      </c>
      <c r="I166" s="52">
        <f t="shared" si="52"/>
        <v>0</v>
      </c>
      <c r="J166" s="52">
        <f t="shared" si="52"/>
        <v>0</v>
      </c>
      <c r="K166" s="52">
        <f t="shared" si="52"/>
        <v>0</v>
      </c>
      <c r="L166" s="52">
        <f t="shared" si="52"/>
        <v>0</v>
      </c>
      <c r="M166" s="52">
        <f t="shared" si="52"/>
        <v>0</v>
      </c>
      <c r="N166" s="52">
        <f t="shared" si="52"/>
        <v>0</v>
      </c>
      <c r="O166" s="52">
        <f t="shared" si="52"/>
        <v>0</v>
      </c>
      <c r="P166" s="52">
        <f t="shared" si="52"/>
        <v>0</v>
      </c>
      <c r="Q166" s="52">
        <f t="shared" si="52"/>
        <v>0</v>
      </c>
      <c r="R166" s="52">
        <f t="shared" si="52"/>
        <v>0</v>
      </c>
      <c r="S166" s="52">
        <f t="shared" si="52"/>
        <v>0</v>
      </c>
      <c r="T166" s="52">
        <f t="shared" si="52"/>
        <v>0</v>
      </c>
      <c r="U166" s="52">
        <f t="shared" si="52"/>
        <v>0</v>
      </c>
      <c r="V166" s="52">
        <f t="shared" si="52"/>
        <v>0</v>
      </c>
      <c r="W166" s="52">
        <f t="shared" si="52"/>
        <v>0</v>
      </c>
      <c r="X166" s="52">
        <f t="shared" si="52"/>
        <v>0</v>
      </c>
      <c r="Y166" s="52">
        <f t="shared" si="52"/>
        <v>0</v>
      </c>
      <c r="Z166" s="52">
        <f t="shared" si="52"/>
        <v>0</v>
      </c>
      <c r="AA166" s="52">
        <f t="shared" si="52"/>
        <v>0</v>
      </c>
      <c r="AB166" s="52">
        <f t="shared" si="52"/>
        <v>0</v>
      </c>
      <c r="AC166" s="52">
        <f t="shared" si="52"/>
        <v>0</v>
      </c>
      <c r="AD166" s="52">
        <f t="shared" si="52"/>
        <v>0</v>
      </c>
      <c r="AE166" s="52">
        <f t="shared" si="52"/>
        <v>0</v>
      </c>
      <c r="AF166" s="52">
        <f t="shared" si="52"/>
        <v>0</v>
      </c>
      <c r="AG166" s="52">
        <f t="shared" si="52"/>
        <v>0</v>
      </c>
      <c r="AH166" s="52">
        <f t="shared" si="52"/>
        <v>0</v>
      </c>
      <c r="AI166" s="52">
        <f t="shared" si="52"/>
        <v>0</v>
      </c>
      <c r="AJ166" s="52">
        <f t="shared" si="52"/>
        <v>0</v>
      </c>
      <c r="AK166" s="27"/>
      <c r="AL166" s="5"/>
      <c r="AM166" s="5"/>
      <c r="AN166" s="5"/>
      <c r="AO166" s="6"/>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row>
    <row r="167" spans="2:86" x14ac:dyDescent="0.3">
      <c r="B167" s="27"/>
      <c r="C167" s="82" t="s">
        <v>87</v>
      </c>
      <c r="D167" s="82"/>
      <c r="E167" s="83">
        <f>+E166+E151+E135+E125+E119+E112+E101+E65+E61+E24</f>
        <v>0</v>
      </c>
      <c r="F167" s="83">
        <f>+F166+F151+F135+F125+F119+F112+F101+F65+F61+F24</f>
        <v>0</v>
      </c>
      <c r="G167" s="83">
        <f t="shared" ref="G167:AJ167" si="53">+G166+G151+G135+G125+G119+G112+G101+G65+G61+G24</f>
        <v>0</v>
      </c>
      <c r="H167" s="83">
        <f t="shared" si="53"/>
        <v>0</v>
      </c>
      <c r="I167" s="83">
        <f t="shared" si="53"/>
        <v>0</v>
      </c>
      <c r="J167" s="83">
        <f t="shared" si="53"/>
        <v>0</v>
      </c>
      <c r="K167" s="83">
        <f t="shared" si="53"/>
        <v>0</v>
      </c>
      <c r="L167" s="83">
        <f t="shared" si="53"/>
        <v>0</v>
      </c>
      <c r="M167" s="83">
        <f t="shared" si="53"/>
        <v>0</v>
      </c>
      <c r="N167" s="83">
        <f t="shared" si="53"/>
        <v>0</v>
      </c>
      <c r="O167" s="83">
        <f t="shared" si="53"/>
        <v>0</v>
      </c>
      <c r="P167" s="83">
        <f t="shared" si="53"/>
        <v>0</v>
      </c>
      <c r="Q167" s="83">
        <f t="shared" si="53"/>
        <v>0</v>
      </c>
      <c r="R167" s="83">
        <f t="shared" si="53"/>
        <v>0</v>
      </c>
      <c r="S167" s="83">
        <f t="shared" si="53"/>
        <v>0</v>
      </c>
      <c r="T167" s="83">
        <f t="shared" si="53"/>
        <v>0</v>
      </c>
      <c r="U167" s="83">
        <f t="shared" si="53"/>
        <v>0</v>
      </c>
      <c r="V167" s="83">
        <f t="shared" si="53"/>
        <v>0</v>
      </c>
      <c r="W167" s="83">
        <f t="shared" si="53"/>
        <v>0</v>
      </c>
      <c r="X167" s="83">
        <f t="shared" si="53"/>
        <v>0</v>
      </c>
      <c r="Y167" s="83">
        <f t="shared" si="53"/>
        <v>0</v>
      </c>
      <c r="Z167" s="83">
        <f t="shared" si="53"/>
        <v>0</v>
      </c>
      <c r="AA167" s="83">
        <f t="shared" si="53"/>
        <v>0</v>
      </c>
      <c r="AB167" s="83">
        <f t="shared" si="53"/>
        <v>0</v>
      </c>
      <c r="AC167" s="83">
        <f t="shared" si="53"/>
        <v>0</v>
      </c>
      <c r="AD167" s="83">
        <f t="shared" si="53"/>
        <v>0</v>
      </c>
      <c r="AE167" s="83">
        <f t="shared" si="53"/>
        <v>0</v>
      </c>
      <c r="AF167" s="83">
        <f t="shared" si="53"/>
        <v>0</v>
      </c>
      <c r="AG167" s="83">
        <f t="shared" si="53"/>
        <v>0</v>
      </c>
      <c r="AH167" s="83">
        <f t="shared" si="53"/>
        <v>0</v>
      </c>
      <c r="AI167" s="83">
        <f t="shared" si="53"/>
        <v>0</v>
      </c>
      <c r="AJ167" s="83">
        <f t="shared" si="53"/>
        <v>0</v>
      </c>
      <c r="AK167" s="27"/>
      <c r="AL167" s="5"/>
      <c r="AM167" s="5"/>
      <c r="AN167" s="5"/>
      <c r="AO167" s="6"/>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row>
    <row r="168" spans="2:86" ht="15.6" x14ac:dyDescent="0.3">
      <c r="B168" s="27"/>
      <c r="C168" s="53" t="s">
        <v>88</v>
      </c>
      <c r="D168" s="53"/>
      <c r="E168" s="14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27"/>
      <c r="AL168" s="5"/>
      <c r="AM168" s="5"/>
      <c r="AN168" s="5"/>
      <c r="AO168" s="6"/>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row>
    <row r="169" spans="2:86" x14ac:dyDescent="0.3">
      <c r="B169" s="27"/>
      <c r="C169" s="41" t="str">
        <f>'[1]16. Project Costs'!C171</f>
        <v>Developer's Fee Received</v>
      </c>
      <c r="D169" s="42">
        <f t="shared" ref="D169:D174" si="54">Dev_Fee_Received_Total</f>
        <v>0</v>
      </c>
      <c r="E169" s="149">
        <v>0</v>
      </c>
      <c r="F169" s="84">
        <f>+E169-SUM(G169:AJ169)</f>
        <v>0</v>
      </c>
      <c r="G169" s="85">
        <f>+E169*0.15</f>
        <v>0</v>
      </c>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27"/>
      <c r="AL169" s="5"/>
      <c r="AM169" s="5"/>
      <c r="AN169" s="5"/>
      <c r="AO169" s="6"/>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row>
    <row r="170" spans="2:86" x14ac:dyDescent="0.3">
      <c r="B170" s="27"/>
      <c r="C170" s="45" t="str">
        <f>'[1]16. Project Costs'!C172</f>
        <v>Developer's Fee - Deferred</v>
      </c>
      <c r="D170" s="46">
        <f t="shared" si="54"/>
        <v>0</v>
      </c>
      <c r="E170" s="149">
        <v>0</v>
      </c>
      <c r="F170" s="84">
        <f t="shared" ref="F170:F174" si="55">+E170-SUM(G170:AJ170)</f>
        <v>0</v>
      </c>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27"/>
      <c r="AL170" s="5"/>
      <c r="AM170" s="5"/>
      <c r="AN170" s="5"/>
      <c r="AO170" s="6"/>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row>
    <row r="171" spans="2:86" x14ac:dyDescent="0.3">
      <c r="B171" s="27"/>
      <c r="C171" s="41" t="str">
        <f>'[1]16. Project Costs'!C173</f>
        <v>Developer Overhead</v>
      </c>
      <c r="D171" s="42">
        <f t="shared" si="54"/>
        <v>0</v>
      </c>
      <c r="E171" s="149">
        <v>0</v>
      </c>
      <c r="F171" s="84">
        <f t="shared" si="55"/>
        <v>0</v>
      </c>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27"/>
      <c r="AL171" s="5"/>
      <c r="AM171" s="5"/>
      <c r="AN171" s="5"/>
      <c r="AO171" s="6"/>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row>
    <row r="172" spans="2:86" x14ac:dyDescent="0.3">
      <c r="B172" s="27"/>
      <c r="C172" s="41" t="str">
        <f>'[1]16. Project Costs'!C174</f>
        <v>Consultants</v>
      </c>
      <c r="D172" s="42">
        <f t="shared" si="54"/>
        <v>0</v>
      </c>
      <c r="E172" s="149">
        <v>0</v>
      </c>
      <c r="F172" s="84">
        <f t="shared" si="55"/>
        <v>0</v>
      </c>
      <c r="G172" s="85">
        <f>+E172</f>
        <v>0</v>
      </c>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27"/>
      <c r="AL172" s="5"/>
      <c r="AM172" s="5"/>
      <c r="AN172" s="5"/>
      <c r="AO172" s="6"/>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row>
    <row r="173" spans="2:86" hidden="1" x14ac:dyDescent="0.3">
      <c r="B173" s="27"/>
      <c r="C173" s="60"/>
      <c r="D173" s="42">
        <f t="shared" si="54"/>
        <v>0</v>
      </c>
      <c r="E173" s="149">
        <v>0</v>
      </c>
      <c r="F173" s="84">
        <f t="shared" si="55"/>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27"/>
      <c r="AL173" s="5"/>
      <c r="AM173" s="5"/>
      <c r="AN173" s="5"/>
      <c r="AO173" s="6"/>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row>
    <row r="174" spans="2:86" x14ac:dyDescent="0.3">
      <c r="B174" s="27"/>
      <c r="C174" s="45" t="str">
        <f>'[1]16. Project Costs'!C175</f>
        <v>Other Developer's Fees</v>
      </c>
      <c r="D174" s="46">
        <f t="shared" si="54"/>
        <v>0</v>
      </c>
      <c r="E174" s="149">
        <v>0</v>
      </c>
      <c r="F174" s="84">
        <f t="shared" si="55"/>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27"/>
      <c r="AL174" s="5"/>
      <c r="AM174" s="5"/>
      <c r="AN174" s="5"/>
      <c r="AO174" s="6"/>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row>
    <row r="175" spans="2:86" x14ac:dyDescent="0.3">
      <c r="B175" s="27"/>
      <c r="C175" s="50" t="s">
        <v>89</v>
      </c>
      <c r="D175" s="50"/>
      <c r="E175" s="51">
        <f t="shared" ref="E175:AJ175" si="56">SUM(E169:E174)</f>
        <v>0</v>
      </c>
      <c r="F175" s="52">
        <f t="shared" si="56"/>
        <v>0</v>
      </c>
      <c r="G175" s="52">
        <f t="shared" si="56"/>
        <v>0</v>
      </c>
      <c r="H175" s="52">
        <f t="shared" si="56"/>
        <v>0</v>
      </c>
      <c r="I175" s="52">
        <f t="shared" si="56"/>
        <v>0</v>
      </c>
      <c r="J175" s="52">
        <f t="shared" si="56"/>
        <v>0</v>
      </c>
      <c r="K175" s="52">
        <f t="shared" si="56"/>
        <v>0</v>
      </c>
      <c r="L175" s="52">
        <f t="shared" si="56"/>
        <v>0</v>
      </c>
      <c r="M175" s="52">
        <f t="shared" si="56"/>
        <v>0</v>
      </c>
      <c r="N175" s="52">
        <f t="shared" si="56"/>
        <v>0</v>
      </c>
      <c r="O175" s="52">
        <f t="shared" si="56"/>
        <v>0</v>
      </c>
      <c r="P175" s="52">
        <f t="shared" si="56"/>
        <v>0</v>
      </c>
      <c r="Q175" s="52">
        <f t="shared" si="56"/>
        <v>0</v>
      </c>
      <c r="R175" s="52">
        <f t="shared" si="56"/>
        <v>0</v>
      </c>
      <c r="S175" s="52">
        <f t="shared" si="56"/>
        <v>0</v>
      </c>
      <c r="T175" s="52">
        <f t="shared" si="56"/>
        <v>0</v>
      </c>
      <c r="U175" s="52">
        <f t="shared" si="56"/>
        <v>0</v>
      </c>
      <c r="V175" s="52">
        <f t="shared" si="56"/>
        <v>0</v>
      </c>
      <c r="W175" s="52">
        <f t="shared" si="56"/>
        <v>0</v>
      </c>
      <c r="X175" s="52">
        <f t="shared" si="56"/>
        <v>0</v>
      </c>
      <c r="Y175" s="52">
        <f t="shared" si="56"/>
        <v>0</v>
      </c>
      <c r="Z175" s="52">
        <f t="shared" si="56"/>
        <v>0</v>
      </c>
      <c r="AA175" s="52">
        <f t="shared" si="56"/>
        <v>0</v>
      </c>
      <c r="AB175" s="52">
        <f t="shared" si="56"/>
        <v>0</v>
      </c>
      <c r="AC175" s="52">
        <f t="shared" si="56"/>
        <v>0</v>
      </c>
      <c r="AD175" s="52">
        <f t="shared" si="56"/>
        <v>0</v>
      </c>
      <c r="AE175" s="52">
        <f t="shared" si="56"/>
        <v>0</v>
      </c>
      <c r="AF175" s="52">
        <f t="shared" si="56"/>
        <v>0</v>
      </c>
      <c r="AG175" s="52">
        <f t="shared" si="56"/>
        <v>0</v>
      </c>
      <c r="AH175" s="52">
        <f t="shared" si="56"/>
        <v>0</v>
      </c>
      <c r="AI175" s="52">
        <f t="shared" si="56"/>
        <v>0</v>
      </c>
      <c r="AJ175" s="52">
        <f t="shared" si="56"/>
        <v>0</v>
      </c>
      <c r="AK175" s="27"/>
      <c r="AL175" s="5"/>
      <c r="AM175" s="5"/>
      <c r="AN175" s="5"/>
      <c r="AO175" s="6"/>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row>
    <row r="176" spans="2:86" ht="18" x14ac:dyDescent="0.3">
      <c r="B176" s="27"/>
      <c r="C176" s="86" t="s">
        <v>90</v>
      </c>
      <c r="D176" s="86"/>
      <c r="E176" s="87">
        <f>+E175+E167</f>
        <v>0</v>
      </c>
      <c r="F176" s="87">
        <f>+F175+F167</f>
        <v>0</v>
      </c>
      <c r="G176" s="87">
        <f t="shared" ref="G176:AJ176" si="57">+G175+G167</f>
        <v>0</v>
      </c>
      <c r="H176" s="87">
        <f t="shared" si="57"/>
        <v>0</v>
      </c>
      <c r="I176" s="87">
        <f t="shared" si="57"/>
        <v>0</v>
      </c>
      <c r="J176" s="87">
        <f t="shared" si="57"/>
        <v>0</v>
      </c>
      <c r="K176" s="87">
        <f t="shared" si="57"/>
        <v>0</v>
      </c>
      <c r="L176" s="87">
        <f t="shared" si="57"/>
        <v>0</v>
      </c>
      <c r="M176" s="87">
        <f t="shared" si="57"/>
        <v>0</v>
      </c>
      <c r="N176" s="87">
        <f t="shared" si="57"/>
        <v>0</v>
      </c>
      <c r="O176" s="87">
        <f t="shared" si="57"/>
        <v>0</v>
      </c>
      <c r="P176" s="87">
        <f t="shared" si="57"/>
        <v>0</v>
      </c>
      <c r="Q176" s="87">
        <f t="shared" si="57"/>
        <v>0</v>
      </c>
      <c r="R176" s="87">
        <f t="shared" si="57"/>
        <v>0</v>
      </c>
      <c r="S176" s="87">
        <f t="shared" si="57"/>
        <v>0</v>
      </c>
      <c r="T176" s="87">
        <f t="shared" si="57"/>
        <v>0</v>
      </c>
      <c r="U176" s="87">
        <f t="shared" si="57"/>
        <v>0</v>
      </c>
      <c r="V176" s="87">
        <f t="shared" si="57"/>
        <v>0</v>
      </c>
      <c r="W176" s="87">
        <f t="shared" si="57"/>
        <v>0</v>
      </c>
      <c r="X176" s="87">
        <f t="shared" si="57"/>
        <v>0</v>
      </c>
      <c r="Y176" s="87">
        <f t="shared" si="57"/>
        <v>0</v>
      </c>
      <c r="Z176" s="87">
        <f t="shared" si="57"/>
        <v>0</v>
      </c>
      <c r="AA176" s="87">
        <f t="shared" si="57"/>
        <v>0</v>
      </c>
      <c r="AB176" s="87">
        <f t="shared" si="57"/>
        <v>0</v>
      </c>
      <c r="AC176" s="87">
        <f t="shared" si="57"/>
        <v>0</v>
      </c>
      <c r="AD176" s="87">
        <f t="shared" si="57"/>
        <v>0</v>
      </c>
      <c r="AE176" s="87">
        <f t="shared" si="57"/>
        <v>0</v>
      </c>
      <c r="AF176" s="87">
        <f t="shared" si="57"/>
        <v>0</v>
      </c>
      <c r="AG176" s="87">
        <f t="shared" si="57"/>
        <v>0</v>
      </c>
      <c r="AH176" s="87">
        <f t="shared" si="57"/>
        <v>0</v>
      </c>
      <c r="AI176" s="87">
        <f t="shared" si="57"/>
        <v>0</v>
      </c>
      <c r="AJ176" s="87">
        <f t="shared" si="57"/>
        <v>0</v>
      </c>
      <c r="AK176" s="27"/>
      <c r="AL176" s="5"/>
      <c r="AM176" s="5"/>
      <c r="AN176" s="5"/>
      <c r="AO176" s="6"/>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row>
    <row r="177" spans="2:86" x14ac:dyDescent="0.3">
      <c r="B177" s="27"/>
      <c r="C177" s="88"/>
      <c r="D177" s="88"/>
      <c r="E177" s="89"/>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27"/>
      <c r="AL177" s="5"/>
      <c r="AM177" s="5"/>
      <c r="AN177" s="5"/>
      <c r="AO177" s="6"/>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row>
    <row r="178" spans="2:86" x14ac:dyDescent="0.3">
      <c r="B178" s="27"/>
      <c r="C178" s="88"/>
      <c r="D178" s="91" t="s">
        <v>91</v>
      </c>
      <c r="E178" s="92"/>
      <c r="F178" s="93"/>
      <c r="G178" s="93">
        <f>+F178+G176</f>
        <v>0</v>
      </c>
      <c r="H178" s="93">
        <f t="shared" ref="H178:AJ178" si="58">+G178+H176</f>
        <v>0</v>
      </c>
      <c r="I178" s="93">
        <f t="shared" si="58"/>
        <v>0</v>
      </c>
      <c r="J178" s="93">
        <f t="shared" si="58"/>
        <v>0</v>
      </c>
      <c r="K178" s="93">
        <f t="shared" si="58"/>
        <v>0</v>
      </c>
      <c r="L178" s="93">
        <f t="shared" si="58"/>
        <v>0</v>
      </c>
      <c r="M178" s="93">
        <f t="shared" si="58"/>
        <v>0</v>
      </c>
      <c r="N178" s="93">
        <f t="shared" si="58"/>
        <v>0</v>
      </c>
      <c r="O178" s="93">
        <f t="shared" si="58"/>
        <v>0</v>
      </c>
      <c r="P178" s="93">
        <f t="shared" si="58"/>
        <v>0</v>
      </c>
      <c r="Q178" s="93">
        <f t="shared" si="58"/>
        <v>0</v>
      </c>
      <c r="R178" s="93">
        <f t="shared" si="58"/>
        <v>0</v>
      </c>
      <c r="S178" s="93">
        <f t="shared" si="58"/>
        <v>0</v>
      </c>
      <c r="T178" s="93">
        <f t="shared" si="58"/>
        <v>0</v>
      </c>
      <c r="U178" s="93">
        <f t="shared" si="58"/>
        <v>0</v>
      </c>
      <c r="V178" s="93">
        <f t="shared" si="58"/>
        <v>0</v>
      </c>
      <c r="W178" s="93">
        <f t="shared" si="58"/>
        <v>0</v>
      </c>
      <c r="X178" s="93">
        <f t="shared" si="58"/>
        <v>0</v>
      </c>
      <c r="Y178" s="93">
        <f t="shared" si="58"/>
        <v>0</v>
      </c>
      <c r="Z178" s="93">
        <f t="shared" si="58"/>
        <v>0</v>
      </c>
      <c r="AA178" s="93">
        <f t="shared" si="58"/>
        <v>0</v>
      </c>
      <c r="AB178" s="93">
        <f t="shared" si="58"/>
        <v>0</v>
      </c>
      <c r="AC178" s="93">
        <f t="shared" si="58"/>
        <v>0</v>
      </c>
      <c r="AD178" s="93">
        <f t="shared" si="58"/>
        <v>0</v>
      </c>
      <c r="AE178" s="93">
        <f t="shared" si="58"/>
        <v>0</v>
      </c>
      <c r="AF178" s="93">
        <f t="shared" si="58"/>
        <v>0</v>
      </c>
      <c r="AG178" s="93">
        <f t="shared" si="58"/>
        <v>0</v>
      </c>
      <c r="AH178" s="93">
        <f t="shared" si="58"/>
        <v>0</v>
      </c>
      <c r="AI178" s="93">
        <f t="shared" si="58"/>
        <v>0</v>
      </c>
      <c r="AJ178" s="93">
        <f t="shared" si="58"/>
        <v>0</v>
      </c>
      <c r="AK178" s="27"/>
      <c r="AL178" s="5"/>
      <c r="AM178" s="5"/>
      <c r="AN178" s="5"/>
      <c r="AO178" s="6"/>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row>
    <row r="179" spans="2:86" x14ac:dyDescent="0.3">
      <c r="B179" s="27"/>
      <c r="C179" s="27"/>
      <c r="D179" s="27"/>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27"/>
      <c r="AL179" s="5"/>
      <c r="AM179" s="5"/>
      <c r="AN179" s="5"/>
      <c r="AO179" s="95"/>
      <c r="AP179" s="9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row>
    <row r="180" spans="2:86" ht="18" x14ac:dyDescent="0.3">
      <c r="B180" s="27"/>
      <c r="C180" s="96" t="s">
        <v>92</v>
      </c>
      <c r="D180" s="96"/>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27"/>
      <c r="AL180" s="5"/>
      <c r="AM180" s="5"/>
      <c r="AN180" s="5"/>
      <c r="AO180" s="95"/>
      <c r="AP180" s="9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row>
    <row r="181" spans="2:86" x14ac:dyDescent="0.3">
      <c r="B181" s="27"/>
      <c r="C181" s="97" t="s">
        <v>93</v>
      </c>
      <c r="D181" s="97"/>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27"/>
      <c r="AL181" s="5"/>
      <c r="AM181" s="5"/>
      <c r="AN181" s="5"/>
      <c r="AO181" s="95"/>
      <c r="AP181" s="9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row>
    <row r="182" spans="2:86" x14ac:dyDescent="0.3">
      <c r="B182" s="27"/>
      <c r="C182" s="99" t="s">
        <v>94</v>
      </c>
      <c r="D182" s="28" t="s">
        <v>95</v>
      </c>
      <c r="E182" s="100" t="s">
        <v>96</v>
      </c>
      <c r="F182" s="100" t="s">
        <v>42</v>
      </c>
      <c r="G182" s="100" t="str">
        <f t="shared" ref="G182:AJ182" si="59">G12</f>
        <v>Draw #1</v>
      </c>
      <c r="H182" s="100" t="str">
        <f t="shared" si="59"/>
        <v>Draw #2</v>
      </c>
      <c r="I182" s="100" t="str">
        <f t="shared" si="59"/>
        <v>Draw #3</v>
      </c>
      <c r="J182" s="100" t="str">
        <f t="shared" si="59"/>
        <v>Draw #4</v>
      </c>
      <c r="K182" s="100" t="str">
        <f t="shared" si="59"/>
        <v>Draw #5</v>
      </c>
      <c r="L182" s="100" t="str">
        <f t="shared" si="59"/>
        <v>Draw #6</v>
      </c>
      <c r="M182" s="100" t="str">
        <f t="shared" si="59"/>
        <v>Draw #7</v>
      </c>
      <c r="N182" s="100" t="str">
        <f t="shared" si="59"/>
        <v>Draw #8</v>
      </c>
      <c r="O182" s="100" t="str">
        <f t="shared" si="59"/>
        <v>Draw #9</v>
      </c>
      <c r="P182" s="100" t="str">
        <f t="shared" si="59"/>
        <v>Draw #10</v>
      </c>
      <c r="Q182" s="100" t="str">
        <f t="shared" si="59"/>
        <v>Draw #11</v>
      </c>
      <c r="R182" s="100" t="str">
        <f t="shared" si="59"/>
        <v>Draw #12</v>
      </c>
      <c r="S182" s="100" t="str">
        <f t="shared" si="59"/>
        <v>Draw #13</v>
      </c>
      <c r="T182" s="100" t="str">
        <f t="shared" si="59"/>
        <v>Draw #14</v>
      </c>
      <c r="U182" s="100" t="str">
        <f t="shared" si="59"/>
        <v>Draw #15</v>
      </c>
      <c r="V182" s="100" t="str">
        <f t="shared" si="59"/>
        <v>Draw #16</v>
      </c>
      <c r="W182" s="100" t="str">
        <f t="shared" si="59"/>
        <v>Draw #17</v>
      </c>
      <c r="X182" s="100" t="str">
        <f t="shared" si="59"/>
        <v>Draw #18</v>
      </c>
      <c r="Y182" s="101" t="str">
        <f t="shared" si="59"/>
        <v>Draw $19</v>
      </c>
      <c r="Z182" s="101" t="str">
        <f t="shared" si="59"/>
        <v>Draw #20</v>
      </c>
      <c r="AA182" s="101" t="str">
        <f t="shared" si="59"/>
        <v>Draw #21</v>
      </c>
      <c r="AB182" s="101" t="str">
        <f t="shared" si="59"/>
        <v>Draw #22</v>
      </c>
      <c r="AC182" s="101" t="str">
        <f t="shared" si="59"/>
        <v>Draw #23</v>
      </c>
      <c r="AD182" s="101" t="str">
        <f t="shared" si="59"/>
        <v>Draw #24</v>
      </c>
      <c r="AE182" s="101" t="str">
        <f t="shared" si="59"/>
        <v>Draw #25</v>
      </c>
      <c r="AF182" s="101" t="str">
        <f t="shared" si="59"/>
        <v>Draw #26</v>
      </c>
      <c r="AG182" s="101" t="str">
        <f t="shared" si="59"/>
        <v>Draw #26</v>
      </c>
      <c r="AH182" s="101" t="str">
        <f t="shared" si="59"/>
        <v>Draw #28</v>
      </c>
      <c r="AI182" s="101" t="str">
        <f t="shared" si="59"/>
        <v>Draw #29</v>
      </c>
      <c r="AJ182" s="101" t="str">
        <f t="shared" si="59"/>
        <v>Draw #30</v>
      </c>
      <c r="AK182" s="27"/>
      <c r="AL182" s="95" t="s">
        <v>97</v>
      </c>
      <c r="AM182" s="95" t="s">
        <v>98</v>
      </c>
      <c r="AN182" s="95" t="s">
        <v>99</v>
      </c>
      <c r="AO182" s="95" t="s">
        <v>100</v>
      </c>
      <c r="AP182" s="9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row>
    <row r="183" spans="2:86" x14ac:dyDescent="0.3">
      <c r="B183" s="27"/>
      <c r="C183" s="102" t="str">
        <f>Construction_Source_1</f>
        <v>Construction Loan 1</v>
      </c>
      <c r="D183" s="152" t="s">
        <v>139</v>
      </c>
      <c r="E183" s="157">
        <v>0</v>
      </c>
      <c r="F183" s="103">
        <f>IF(AO183,0,E183-SUM(G183:AJ183))</f>
        <v>0</v>
      </c>
      <c r="G183" s="44">
        <f>+MIN($G176-SUM(G$205:$G$214,G$216:G$222,G$225:G$231),$E183)</f>
        <v>0</v>
      </c>
      <c r="H183" s="44">
        <f>+MIN($G176-SUM($G$205:H$214,H$216:H$222,H$225:H$231),$E183-SUM($G183:G183))</f>
        <v>0</v>
      </c>
      <c r="I183" s="44">
        <f>+MIN($G176-SUM($G$205:I$214,I$216:I$222,I$225:I$231),$E183-SUM($G183:H183))</f>
        <v>0</v>
      </c>
      <c r="J183" s="44">
        <f>+MIN($G176-SUM($G$205:J$214,J$216:J$222,J$225:J$231),$E183-SUM($G183:I183))</f>
        <v>0</v>
      </c>
      <c r="K183" s="44">
        <f>+MIN($G176-SUM($G$205:K$214,K$216:K$222,K$225:K$231),$E183-SUM($G183:J183))</f>
        <v>0</v>
      </c>
      <c r="L183" s="44">
        <f>+MIN($G176-SUM($G$205:L$214,L$216:L$222,L$225:L$231),$E183-SUM($G183:K183))</f>
        <v>0</v>
      </c>
      <c r="M183" s="44">
        <f>+MIN($G176-SUM($G$205:M$214,M$216:M$222,M$225:M$231),$E183-SUM($G183:L183))</f>
        <v>0</v>
      </c>
      <c r="N183" s="44">
        <f>+MIN($G176-SUM($G$205:N$214,N$216:N$222,N$225:N$231),$E183-SUM($G183:M183))</f>
        <v>0</v>
      </c>
      <c r="O183" s="44">
        <f>+MIN($G176-SUM($G$205:O$214,O$216:O$222,O$225:O$231),$E183-SUM($G183:N183))</f>
        <v>0</v>
      </c>
      <c r="P183" s="44">
        <f>+MIN($G176-SUM($G$205:P$214,P$216:P$222,P$225:P$231),$E183-SUM($G183:O183))</f>
        <v>0</v>
      </c>
      <c r="Q183" s="44">
        <f>+MIN($G176-SUM($G$205:Q$214,Q$216:Q$222,Q$225:Q$231),$E183-SUM($G183:P183))</f>
        <v>0</v>
      </c>
      <c r="R183" s="44">
        <f>+MIN($G176-SUM($G$205:R$214,R$216:R$222,R$225:R$231),$E183-SUM($G183:Q183))</f>
        <v>0</v>
      </c>
      <c r="S183" s="44">
        <f>+MIN($G176-SUM($G$205:S$214,S$216:S$222,S$225:S$231),$E183-SUM($G183:R183))</f>
        <v>0</v>
      </c>
      <c r="T183" s="44">
        <f>+MIN($G176-SUM($G$205:T$214,T$216:T$222,T$225:T$231),$E183-SUM($G183:S183))</f>
        <v>0</v>
      </c>
      <c r="U183" s="44">
        <f>+MIN($G176-SUM($G$205:U$214,U$216:U$222,U$225:U$231),$E183-SUM($G183:T183))</f>
        <v>0</v>
      </c>
      <c r="V183" s="44">
        <f>+MIN($G176-SUM($G$205:V$214,V$216:V$222,V$225:V$231),$E183-SUM($G183:U183))</f>
        <v>0</v>
      </c>
      <c r="W183" s="104">
        <f>+MIN($G176-SUM($G$205:W$214,W$216:W$222,W$225:W$231),$E183-SUM($G183:V183))</f>
        <v>0</v>
      </c>
      <c r="X183" s="104">
        <f>+MIN($G176-SUM($G$205:X$214,X$216:X$222,X$225:X$231),$E183-SUM($G183:W183))</f>
        <v>0</v>
      </c>
      <c r="Y183" s="104">
        <f>+MIN($G176-SUM($G$205:Y$214,Y$216:Y$222,Y$225:Y$231),$E183-SUM($G183:X183))</f>
        <v>0</v>
      </c>
      <c r="Z183" s="104">
        <f>+MIN($G176-SUM($G$205:Z$214,Z$216:Z$222,Z$225:Z$231),$E183-SUM($G183:Y183))</f>
        <v>0</v>
      </c>
      <c r="AA183" s="104">
        <f>+MIN($G176-SUM($G$205:AA$214,AA$216:AA$222,AA$225:AA$231),$E183-SUM($G183:Z183))</f>
        <v>0</v>
      </c>
      <c r="AB183" s="104">
        <f>+MIN($G176-SUM($G$205:AB$214,AB$216:AB$222,AB$225:AB$231),$E183-SUM($G183:AA183))</f>
        <v>0</v>
      </c>
      <c r="AC183" s="104">
        <f>+MIN($G176-SUM($G$205:AC$214,AC$216:AC$222,AC$225:AC$231),$E183-SUM($G183:AB183))</f>
        <v>0</v>
      </c>
      <c r="AD183" s="104">
        <f>+MIN($G176-SUM($G$205:AD$214,AD$216:AD$222,AD$225:AD$231),$E183-SUM($G183:AC183))</f>
        <v>0</v>
      </c>
      <c r="AE183" s="104">
        <f>+MIN($G176-SUM($G$205:AE$214,AE$216:AE$222,AE$225:AE$231),$E183-SUM($G183:AD183))</f>
        <v>0</v>
      </c>
      <c r="AF183" s="104">
        <f>+MIN($G176-SUM($G$205:AF$214,AF$216:AF$222,AF$225:AF$231),$E183-SUM($G183:AE183))</f>
        <v>0</v>
      </c>
      <c r="AG183" s="104">
        <f>+MIN($G176-SUM($G$205:AG$214,AG$216:AG$222,AG$225:AG$231),$E183-SUM($G183:AF183))</f>
        <v>0</v>
      </c>
      <c r="AH183" s="104">
        <f>+MIN($G176-SUM($G$205:AH$214,AH$216:AH$222,AH$225:AH$231),$E183-SUM($G183:AG183))</f>
        <v>0</v>
      </c>
      <c r="AI183" s="104">
        <f>+MIN($G176-SUM($G$205:AI$214,AI$216:AI$222,AI$225:AI$231),$E183-SUM($G183:AH183))</f>
        <v>0</v>
      </c>
      <c r="AJ183" s="104">
        <f>+MIN($G176-SUM($G$205:AJ$214,AJ$216:AJ$222,AJ$225:AJ$231),$E183-SUM($G183:AI183))</f>
        <v>0</v>
      </c>
      <c r="AK183" s="27"/>
      <c r="AL183" s="95" t="b">
        <f>COUNTIF(G183:AJ183, "&gt;0")&gt;0</f>
        <v>0</v>
      </c>
      <c r="AM183" s="95" t="b">
        <f>COUNTIF(G183:AJ183, "&lt;0")&gt;0</f>
        <v>0</v>
      </c>
      <c r="AN183" s="95" t="b">
        <f>SUM(G183:AJ183)&lt;=0</f>
        <v>1</v>
      </c>
      <c r="AO183" s="95" t="b">
        <f>AND(AL183,AM183,AN183)</f>
        <v>0</v>
      </c>
      <c r="AP183" s="9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row>
    <row r="184" spans="2:86" x14ac:dyDescent="0.3">
      <c r="B184" s="27"/>
      <c r="C184" s="102" t="str">
        <f>Construction_Source_2</f>
        <v>Construction Loan 2</v>
      </c>
      <c r="D184" s="152" t="s">
        <v>139</v>
      </c>
      <c r="E184" s="157">
        <v>0</v>
      </c>
      <c r="F184" s="84">
        <f t="shared" ref="F184:F187" si="60">IF(AO184,0,E184-SUM(G184:AJ184))</f>
        <v>0</v>
      </c>
      <c r="G184" s="44">
        <f>+MIN(G$176-SUM(G$205:$G$214,G$216:G$222,G$225:G$231,G183),$E184)</f>
        <v>0</v>
      </c>
      <c r="H184" s="44">
        <f>+MIN(H$176-SUM($G$205:H$214,H$216:H$222,H$225:H$231,H183),$E184-SUM($G184:G184))</f>
        <v>0</v>
      </c>
      <c r="I184" s="44">
        <f>+MIN(I$176-SUM($G$205:I$214,I$216:I$222,I$225:I$231,I183),$E184-SUM($G184:H184))</f>
        <v>0</v>
      </c>
      <c r="J184" s="44">
        <f>+MIN(J$176-SUM($G$205:J$214,J$216:J$222,J$225:J$231,J183),$E184-SUM($G184:I184))</f>
        <v>0</v>
      </c>
      <c r="K184" s="44">
        <f>+MIN(K$176-SUM($G$205:K$214,K$216:K$222,K$225:K$231,K183),$E184-SUM($G184:J184))</f>
        <v>0</v>
      </c>
      <c r="L184" s="44">
        <f>+MIN(L$176-SUM($G$205:L$214,L$216:L$222,L$225:L$231,L183),$E184-SUM($G184:K184))</f>
        <v>0</v>
      </c>
      <c r="M184" s="44">
        <f>+MIN(M$176-SUM($G$205:M$214,M$216:M$222,M$225:M$231,M183),$E184-SUM($G184:L184))</f>
        <v>0</v>
      </c>
      <c r="N184" s="44">
        <f>+MIN(N$176-SUM($G$205:N$214,N$216:N$222,N$225:N$231,N183),$E184-SUM($G184:M184))</f>
        <v>0</v>
      </c>
      <c r="O184" s="44">
        <f>+MIN(O$176-SUM($G$205:O$214,O$216:O$222,O$225:O$231,O183),$E184-SUM($G184:N184))</f>
        <v>0</v>
      </c>
      <c r="P184" s="44">
        <f>+MIN(P$176-SUM($G$205:P$214,P$216:P$222,P$225:P$231,P183),$E184-SUM($G184:O184))</f>
        <v>0</v>
      </c>
      <c r="Q184" s="44">
        <f>+MIN(Q$176-SUM($G$205:Q$214,Q$216:Q$222,Q$225:Q$231,Q183),$E184-SUM($G184:P184))</f>
        <v>0</v>
      </c>
      <c r="R184" s="44">
        <f>+MIN(R$176-SUM($G$205:R$214,R$216:R$222,R$225:R$231,R183),$E184-SUM($G184:Q184))</f>
        <v>0</v>
      </c>
      <c r="S184" s="44">
        <f>+MIN(S$176-SUM($G$205:S$214,S$216:S$222,S$225:S$231,S183),$E184-SUM($G184:R184))</f>
        <v>0</v>
      </c>
      <c r="T184" s="44">
        <f>+MIN(T$176-SUM($G$205:T$214,T$216:T$222,T$225:T$231,T183),$E184-SUM($G184:S184))</f>
        <v>0</v>
      </c>
      <c r="U184" s="44">
        <f>+MIN(U$176-SUM($G$205:U$214,U$216:U$222,U$225:U$231,U183),$E184-SUM($G184:T184))</f>
        <v>0</v>
      </c>
      <c r="V184" s="44">
        <f>+MIN(V$176-SUM($G$205:V$214,V$216:V$222,V$225:V$231,V183),$E184-SUM($G184:U184))</f>
        <v>0</v>
      </c>
      <c r="W184" s="44">
        <f>+MIN(W$176-SUM($G$205:W$214,W$216:W$222,W$225:W$231,W183),$E184-SUM($G184:V184))</f>
        <v>0</v>
      </c>
      <c r="X184" s="44">
        <f>+MIN(X$176-SUM($G$205:X$214,X$216:X$222,X$225:X$231,X183),$E184-SUM($G184:W184))</f>
        <v>0</v>
      </c>
      <c r="Y184" s="44">
        <f>+MIN(Y$176-SUM($G$205:Y$214,Y$216:Y$222,Y$225:Y$231,Y183),$E184-SUM($G184:X184))</f>
        <v>0</v>
      </c>
      <c r="Z184" s="44">
        <f>+MIN(Z$176-SUM($G$205:Z$214,Z$216:Z$222,Z$225:Z$231,Z183),$E184-SUM($G184:Y184))</f>
        <v>0</v>
      </c>
      <c r="AA184" s="44">
        <f>+MIN(AA$176-SUM($G$205:AA$214,AA$216:AA$222,AA$225:AA$231,AA183),$E184-SUM($G184:Z184))</f>
        <v>0</v>
      </c>
      <c r="AB184" s="44">
        <f>+MIN(AB$176-SUM($G$205:AB$214,AB$216:AB$222,AB$225:AB$231,AB183),$E184-SUM($G184:AA184))</f>
        <v>0</v>
      </c>
      <c r="AC184" s="44">
        <f>+MIN(AC$176-SUM($G$205:AC$214,AC$216:AC$222,AC$225:AC$231,AC183),$E184-SUM($G184:AB184))</f>
        <v>0</v>
      </c>
      <c r="AD184" s="44">
        <f>+MIN(AD$176-SUM($G$205:AD$214,AD$216:AD$222,AD$225:AD$231,AD183),$E184-SUM($G184:AC184))</f>
        <v>0</v>
      </c>
      <c r="AE184" s="44">
        <f>+MIN(AE$176-SUM($G$205:AE$214,AE$216:AE$222,AE$225:AE$231,AE183),$E184-SUM($G184:AD184))</f>
        <v>0</v>
      </c>
      <c r="AF184" s="44">
        <f>+MIN(AF$176-SUM($G$205:AF$214,AF$216:AF$222,AF$225:AF$231,AF183),$E184-SUM($G184:AE184))</f>
        <v>0</v>
      </c>
      <c r="AG184" s="44">
        <f>+MIN(AG$176-SUM($G$205:AG$214,AG$216:AG$222,AG$225:AG$231,AG183),$E184-SUM($G184:AF184))</f>
        <v>0</v>
      </c>
      <c r="AH184" s="44">
        <f>+MIN(AH$176-SUM($G$205:AH$214,AH$216:AH$222,AH$225:AH$231,AH183),$E184-SUM($G184:AG184))</f>
        <v>0</v>
      </c>
      <c r="AI184" s="44">
        <f>+MIN(AI$176-SUM($G$205:AI$214,AI$216:AI$222,AI$225:AI$231,AI183),$E184-SUM($G184:AH184))</f>
        <v>0</v>
      </c>
      <c r="AJ184" s="44">
        <f>+MIN(AJ$176-SUM($G$205:AJ$214,AJ$216:AJ$222,AJ$225:AJ$231,AJ183),$E184-SUM($G184:AI184))</f>
        <v>0</v>
      </c>
      <c r="AK184" s="27"/>
      <c r="AL184" s="95" t="b">
        <f t="shared" ref="AL184:AL190" si="61">COUNTIF(G184:AJ184, "&gt;0")&gt;0</f>
        <v>0</v>
      </c>
      <c r="AM184" s="95" t="b">
        <f t="shared" ref="AM184:AM190" si="62">COUNTIF(G184:AJ184, "&lt;0")&gt;0</f>
        <v>0</v>
      </c>
      <c r="AN184" s="95" t="b">
        <f t="shared" ref="AN184:AN190" si="63">SUM(G184:AJ184)&lt;=0</f>
        <v>1</v>
      </c>
      <c r="AO184" s="95" t="b">
        <f t="shared" ref="AO184:AO190" si="64">AND(AL184,AM184,AN184)</f>
        <v>0</v>
      </c>
      <c r="AP184" s="9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row>
    <row r="185" spans="2:86" x14ac:dyDescent="0.3">
      <c r="B185" s="27"/>
      <c r="C185" s="102" t="str">
        <f>Construction_Source_3</f>
        <v>Construction Loan 3</v>
      </c>
      <c r="D185" s="152" t="s">
        <v>139</v>
      </c>
      <c r="E185" s="157">
        <v>0</v>
      </c>
      <c r="F185" s="84">
        <f t="shared" si="60"/>
        <v>0</v>
      </c>
      <c r="G185" s="44">
        <f>+MIN(G$176-SUM(G$205:$G$214,G$216:G$222,G$225:G$231,G$183:G184),$E185)</f>
        <v>0</v>
      </c>
      <c r="H185" s="44">
        <f>+MIN(H$176-SUM($G$205:H$214,H$216:H$222,H$225:H$231,H$183:H184),$E185-SUM($G185:G185))</f>
        <v>0</v>
      </c>
      <c r="I185" s="44">
        <f>+MIN(I$176-SUM($G$205:I$214,I$216:I$222,I$225:I$231,I$183:I184),$E185-SUM($G185:H185))</f>
        <v>0</v>
      </c>
      <c r="J185" s="44">
        <f>+MIN(J$176-SUM($G$205:J$214,J$216:J$222,J$225:J$231,J$183:J184),$E185-SUM($G185:I185))</f>
        <v>0</v>
      </c>
      <c r="K185" s="44">
        <f>+MIN(K$176-SUM($G$205:K$214,K$216:K$222,K$225:K$231,K$183:K184),$E185-SUM($G185:J185))</f>
        <v>0</v>
      </c>
      <c r="L185" s="44">
        <f>+MIN(L$176-SUM($G$205:L$214,L$216:L$222,L$225:L$231,L$183:L184),$E185-SUM($G185:K185))</f>
        <v>0</v>
      </c>
      <c r="M185" s="44">
        <f>+MIN(M$176-SUM($G$205:M$214,M$216:M$222,M$225:M$231,M$183:M184),$E185-SUM($G185:L185))</f>
        <v>0</v>
      </c>
      <c r="N185" s="44">
        <f>+MIN(N$176-SUM($G$205:N$214,N$216:N$222,N$225:N$231,N$183:N184),$E185-SUM($G185:M185))</f>
        <v>0</v>
      </c>
      <c r="O185" s="44">
        <f>+MIN(O$176-SUM($G$205:O$214,O$216:O$222,O$225:O$231,O$183:O184),$E185-SUM($G185:N185))</f>
        <v>0</v>
      </c>
      <c r="P185" s="44">
        <f>+MIN(P$176-SUM($G$205:P$214,P$216:P$222,P$225:P$231,P$183:P184),$E185-SUM($G185:O185))</f>
        <v>0</v>
      </c>
      <c r="Q185" s="44">
        <f>+MIN(Q$176-SUM($G$205:Q$214,Q$216:Q$222,Q$225:Q$231,Q$183:Q184),$E185-SUM($G185:P185))</f>
        <v>0</v>
      </c>
      <c r="R185" s="44">
        <f>+MIN(R$176-SUM($G$205:R$214,R$216:R$222,R$225:R$231,R$183:R184),$E185-SUM($G185:Q185))</f>
        <v>0</v>
      </c>
      <c r="S185" s="44">
        <f>+MIN(S$176-SUM($G$205:S$214,S$216:S$222,S$225:S$231,S$183:S184),$E185-SUM($G185:R185))</f>
        <v>0</v>
      </c>
      <c r="T185" s="44">
        <f>+MIN(T$176-SUM($G$205:T$214,T$216:T$222,T$225:T$231,T$183:T184),$E185-SUM($G185:S185))</f>
        <v>0</v>
      </c>
      <c r="U185" s="44">
        <f>+MIN(U$176-SUM($G$205:U$214,U$216:U$222,U$225:U$231,U$183:U184),$E185-SUM($G185:T185))</f>
        <v>0</v>
      </c>
      <c r="V185" s="44">
        <f>+MIN(V$176-SUM($G$205:V$214,V$216:V$222,V$225:V$231,V$183:V184),$E185-SUM($G185:U185))</f>
        <v>0</v>
      </c>
      <c r="W185" s="44">
        <f>+MIN(W$176-SUM($G$205:W$214,W$216:W$222,W$225:W$231,W$183:W184),$E185-SUM($G185:V185))</f>
        <v>0</v>
      </c>
      <c r="X185" s="44">
        <f>+MIN(X$176-SUM($G$205:X$214,X$216:X$222,X$225:X$231,X$183:X184),$E185-SUM($G185:W185))</f>
        <v>0</v>
      </c>
      <c r="Y185" s="44">
        <f>+MIN(Y$176-SUM($G$205:Y$214,Y$216:Y$222,Y$225:Y$231,Y$183:Y184),$E185-SUM($G185:X185))</f>
        <v>0</v>
      </c>
      <c r="Z185" s="44">
        <f>+MIN(Z$176-SUM($G$205:Z$214,Z$216:Z$222,Z$225:Z$231,Z$183:Z184),$E185-SUM($G185:Y185))</f>
        <v>0</v>
      </c>
      <c r="AA185" s="44">
        <f>+MIN(AA$176-SUM($G$205:AA$214,AA$216:AA$222,AA$225:AA$231,AA$183:AA184),$E185-SUM($G185:Z185))</f>
        <v>0</v>
      </c>
      <c r="AB185" s="44">
        <f>+MIN(AB$176-SUM($G$205:AB$214,AB$216:AB$222,AB$225:AB$231,AB$183:AB184),$E185-SUM($G185:AA185))</f>
        <v>0</v>
      </c>
      <c r="AC185" s="44">
        <f>+MIN(AC$176-SUM($G$205:AC$214,AC$216:AC$222,AC$225:AC$231,AC$183:AC184),$E185-SUM($G185:AB185))</f>
        <v>0</v>
      </c>
      <c r="AD185" s="44">
        <f>+MIN(AD$176-SUM($G$205:AD$214,AD$216:AD$222,AD$225:AD$231,AD$183:AD184),$E185-SUM($G185:AC185))</f>
        <v>0</v>
      </c>
      <c r="AE185" s="44">
        <f>+MIN(AE$176-SUM($G$205:AE$214,AE$216:AE$222,AE$225:AE$231,AE$183:AE184),$E185-SUM($G185:AD185))</f>
        <v>0</v>
      </c>
      <c r="AF185" s="44">
        <f>+MIN(AF$176-SUM($G$205:AF$214,AF$216:AF$222,AF$225:AF$231,AF$183:AF184),$E185-SUM($G185:AE185))</f>
        <v>0</v>
      </c>
      <c r="AG185" s="44">
        <f>+MIN(AG$176-SUM($G$205:AG$214,AG$216:AG$222,AG$225:AG$231,AG$183:AG184),$E185-SUM($G185:AF185))</f>
        <v>0</v>
      </c>
      <c r="AH185" s="44">
        <f>+MIN(AH$176-SUM($G$205:AH$214,AH$216:AH$222,AH$225:AH$231,AH$183:AH184),$E185-SUM($G185:AG185))</f>
        <v>0</v>
      </c>
      <c r="AI185" s="44">
        <f>+MIN(AI$176-SUM($G$205:AI$214,AI$216:AI$222,AI$225:AI$231,AI$183:AI184),$E185-SUM($G185:AH185))</f>
        <v>0</v>
      </c>
      <c r="AJ185" s="44">
        <f>+MIN(AJ$176-SUM($G$205:AJ$214,AJ$216:AJ$222,AJ$225:AJ$231,AJ$183:AJ184),$E185-SUM($G185:AI185))</f>
        <v>0</v>
      </c>
      <c r="AK185" s="27"/>
      <c r="AL185" s="95" t="b">
        <f t="shared" si="61"/>
        <v>0</v>
      </c>
      <c r="AM185" s="95" t="b">
        <f t="shared" si="62"/>
        <v>0</v>
      </c>
      <c r="AN185" s="95" t="b">
        <f t="shared" si="63"/>
        <v>1</v>
      </c>
      <c r="AO185" s="95" t="b">
        <f t="shared" si="64"/>
        <v>0</v>
      </c>
      <c r="AP185" s="9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row>
    <row r="186" spans="2:86" x14ac:dyDescent="0.3">
      <c r="B186" s="27"/>
      <c r="C186" s="102" t="str">
        <f>Construction_Source_4</f>
        <v>Construction Loan 4</v>
      </c>
      <c r="D186" s="152" t="s">
        <v>139</v>
      </c>
      <c r="E186" s="157">
        <v>0</v>
      </c>
      <c r="F186" s="84">
        <f t="shared" si="60"/>
        <v>0</v>
      </c>
      <c r="G186" s="44">
        <f>+MIN(G$176-SUM(G$205:$G$214,G$216:G$222,G$225:G$231,G$183:G185),$E186)</f>
        <v>0</v>
      </c>
      <c r="H186" s="44">
        <f>+MIN(H$176-SUM($G$205:H$214,H$216:H$222,H$225:H$231,H$183:H185),$E186-SUM($G186:G186))</f>
        <v>0</v>
      </c>
      <c r="I186" s="44">
        <f>+MIN(I$176-SUM($G$205:I$214,I$216:I$222,I$225:I$231,I$183:I185),$E186-SUM($G186:H186))</f>
        <v>0</v>
      </c>
      <c r="J186" s="44">
        <f>+MIN(J$176-SUM($G$205:J$214,J$216:J$222,J$225:J$231,J$183:J185),$E186-SUM($G186:I186))</f>
        <v>0</v>
      </c>
      <c r="K186" s="44">
        <f>+MIN(K$176-SUM($G$205:K$214,K$216:K$222,K$225:K$231,K$183:K185),$E186-SUM($G186:J186))</f>
        <v>0</v>
      </c>
      <c r="L186" s="44">
        <f>+MIN(L$176-SUM($G$205:L$214,L$216:L$222,L$225:L$231,L$183:L185),$E186-SUM($G186:K186))</f>
        <v>0</v>
      </c>
      <c r="M186" s="44">
        <f>+MIN(M$176-SUM($G$205:M$214,M$216:M$222,M$225:M$231,M$183:M185),$E186-SUM($G186:L186))</f>
        <v>0</v>
      </c>
      <c r="N186" s="44">
        <f>+MIN(N$176-SUM($G$205:N$214,N$216:N$222,N$225:N$231,N$183:N185),$E186-SUM($G186:M186))</f>
        <v>0</v>
      </c>
      <c r="O186" s="44">
        <f>+MIN(O$176-SUM($G$205:O$214,O$216:O$222,O$225:O$231,O$183:O185),$E186-SUM($G186:N186))</f>
        <v>0</v>
      </c>
      <c r="P186" s="44">
        <f>+MIN(P$176-SUM($G$205:P$214,P$216:P$222,P$225:P$231,P$183:P185),$E186-SUM($G186:O186))</f>
        <v>0</v>
      </c>
      <c r="Q186" s="44">
        <f>+MIN(Q$176-SUM($G$205:Q$214,Q$216:Q$222,Q$225:Q$231,Q$183:Q185),$E186-SUM($G186:P186))</f>
        <v>0</v>
      </c>
      <c r="R186" s="44">
        <f>+MIN(R$176-SUM($G$205:R$214,R$216:R$222,R$225:R$231,R$183:R185),$E186-SUM($G186:Q186))</f>
        <v>0</v>
      </c>
      <c r="S186" s="44">
        <f>+MIN(S$176-SUM($G$205:S$214,S$216:S$222,S$225:S$231,S$183:S185),$E186-SUM($G186:R186))</f>
        <v>0</v>
      </c>
      <c r="T186" s="44">
        <f>+MIN(T$176-SUM($G$205:T$214,T$216:T$222,T$225:T$231,T$183:T185),$E186-SUM($G186:S186))</f>
        <v>0</v>
      </c>
      <c r="U186" s="44">
        <f>+MIN(U$176-SUM($G$205:U$214,U$216:U$222,U$225:U$231,U$183:U185),$E186-SUM($G186:T186))</f>
        <v>0</v>
      </c>
      <c r="V186" s="44">
        <f>+MIN(V$176-SUM($G$205:V$214,V$216:V$222,V$225:V$231,V$183:V185),$E186-SUM($G186:U186))</f>
        <v>0</v>
      </c>
      <c r="W186" s="44">
        <f>+MIN(W$176-SUM($G$205:W$214,W$216:W$222,W$225:W$231,W$183:W185),$E186-SUM($G186:V186))</f>
        <v>0</v>
      </c>
      <c r="X186" s="44">
        <f>+MIN(X$176-SUM($G$205:X$214,X$216:X$222,X$225:X$231,X$183:X185),$E186-SUM($G186:W186))</f>
        <v>0</v>
      </c>
      <c r="Y186" s="44">
        <f>+MIN(Y$176-SUM($G$205:Y$214,Y$216:Y$222,Y$225:Y$231,Y$183:Y185),$E186-SUM($G186:X186))</f>
        <v>0</v>
      </c>
      <c r="Z186" s="44">
        <f>+MIN(Z$176-SUM($G$205:Z$214,Z$216:Z$222,Z$225:Z$231,Z$183:Z185),$E186-SUM($G186:Y186))</f>
        <v>0</v>
      </c>
      <c r="AA186" s="44">
        <f>+MIN(AA$176-SUM($G$205:AA$214,AA$216:AA$222,AA$225:AA$231,AA$183:AA185),$E186-SUM($G186:Z186))</f>
        <v>0</v>
      </c>
      <c r="AB186" s="44">
        <f>+MIN(AB$176-SUM($G$205:AB$214,AB$216:AB$222,AB$225:AB$231,AB$183:AB185),$E186-SUM($G186:AA186))</f>
        <v>0</v>
      </c>
      <c r="AC186" s="44">
        <f>+MIN(AC$176-SUM($G$205:AC$214,AC$216:AC$222,AC$225:AC$231,AC$183:AC185),$E186-SUM($G186:AB186))</f>
        <v>0</v>
      </c>
      <c r="AD186" s="44">
        <f>+MIN(AD$176-SUM($G$205:AD$214,AD$216:AD$222,AD$225:AD$231,AD$183:AD185),$E186-SUM($G186:AC186))</f>
        <v>0</v>
      </c>
      <c r="AE186" s="44">
        <f>+MIN(AE$176-SUM($G$205:AE$214,AE$216:AE$222,AE$225:AE$231,AE$183:AE185),$E186-SUM($G186:AD186))</f>
        <v>0</v>
      </c>
      <c r="AF186" s="44">
        <f>+MIN(AF$176-SUM($G$205:AF$214,AF$216:AF$222,AF$225:AF$231,AF$183:AF185),$E186-SUM($G186:AE186))</f>
        <v>0</v>
      </c>
      <c r="AG186" s="44">
        <f>+MIN(AG$176-SUM($G$205:AG$214,AG$216:AG$222,AG$225:AG$231,AG$183:AG185),$E186-SUM($G186:AF186))</f>
        <v>0</v>
      </c>
      <c r="AH186" s="44">
        <f>+MIN(AH$176-SUM($G$205:AH$214,AH$216:AH$222,AH$225:AH$231,AH$183:AH185),$E186-SUM($G186:AG186))</f>
        <v>0</v>
      </c>
      <c r="AI186" s="44">
        <f>+MIN(AI$176-SUM($G$205:AI$214,AI$216:AI$222,AI$225:AI$231,AI$183:AI185),$E186-SUM($G186:AH186))</f>
        <v>0</v>
      </c>
      <c r="AJ186" s="44">
        <f>+MIN(AJ$176-SUM($G$205:AJ$214,AJ$216:AJ$222,AJ$225:AJ$231,AJ$183:AJ185),$E186-SUM($G186:AI186))</f>
        <v>0</v>
      </c>
      <c r="AK186" s="27"/>
      <c r="AL186" s="95" t="b">
        <f t="shared" si="61"/>
        <v>0</v>
      </c>
      <c r="AM186" s="95" t="b">
        <f t="shared" si="62"/>
        <v>0</v>
      </c>
      <c r="AN186" s="95" t="b">
        <f t="shared" si="63"/>
        <v>1</v>
      </c>
      <c r="AO186" s="95" t="b">
        <f t="shared" si="64"/>
        <v>0</v>
      </c>
      <c r="AP186" s="9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row>
    <row r="187" spans="2:86" x14ac:dyDescent="0.3">
      <c r="B187" s="27"/>
      <c r="C187" s="102" t="str">
        <f>Construction_Source_5</f>
        <v>Construction Loan 5</v>
      </c>
      <c r="D187" s="152" t="s">
        <v>139</v>
      </c>
      <c r="E187" s="157">
        <v>0</v>
      </c>
      <c r="F187" s="84">
        <f t="shared" si="60"/>
        <v>0</v>
      </c>
      <c r="G187" s="44">
        <f>+MIN(G$176-SUM(G$205:$G$214,G$216:G$222,G$225:G$231,G$183:G186),$E187)</f>
        <v>0</v>
      </c>
      <c r="H187" s="44">
        <f>+MIN(H$176-SUM($G$205:H$214,H$216:H$222,H$225:H$231,H$183:H186),$E187-SUM($G187:G187))</f>
        <v>0</v>
      </c>
      <c r="I187" s="44">
        <f>+MIN(I$176-SUM($G$205:I$214,I$216:I$222,I$225:I$231,I$183:I186),$E187-SUM($G187:H187))</f>
        <v>0</v>
      </c>
      <c r="J187" s="44">
        <f>+MIN(J$176-SUM($G$205:J$214,J$216:J$222,J$225:J$231,J$183:J186),$E187-SUM($G187:I187))</f>
        <v>0</v>
      </c>
      <c r="K187" s="44">
        <f>+MIN(K$176-SUM($G$205:K$214,K$216:K$222,K$225:K$231,K$183:K186),$E187-SUM($G187:J187))</f>
        <v>0</v>
      </c>
      <c r="L187" s="44">
        <f>+MIN(L$176-SUM($G$205:L$214,L$216:L$222,L$225:L$231,L$183:L186),$E187-SUM($G187:K187))</f>
        <v>0</v>
      </c>
      <c r="M187" s="44">
        <f>+MIN(M$176-SUM($G$205:M$214,M$216:M$222,M$225:M$231,M$183:M186),$E187-SUM($G187:L187))</f>
        <v>0</v>
      </c>
      <c r="N187" s="44">
        <f>+MIN(N$176-SUM($G$205:N$214,N$216:N$222,N$225:N$231,N$183:N186),$E187-SUM($G187:M187))</f>
        <v>0</v>
      </c>
      <c r="O187" s="44">
        <f>+MIN(O$176-SUM($G$205:O$214,O$216:O$222,O$225:O$231,O$183:O186),$E187-SUM($G187:N187))</f>
        <v>0</v>
      </c>
      <c r="P187" s="44">
        <f>+MIN(P$176-SUM($G$205:P$214,P$216:P$222,P$225:P$231,P$183:P186),$E187-SUM($G187:O187))</f>
        <v>0</v>
      </c>
      <c r="Q187" s="44">
        <f>+MIN(Q$176-SUM($G$205:Q$214,Q$216:Q$222,Q$225:Q$231,Q$183:Q186),$E187-SUM($G187:P187))</f>
        <v>0</v>
      </c>
      <c r="R187" s="44">
        <f>+MIN(R$176-SUM($G$205:R$214,R$216:R$222,R$225:R$231,R$183:R186),$E187-SUM($G187:Q187))</f>
        <v>0</v>
      </c>
      <c r="S187" s="44">
        <f>+MIN(S$176-SUM($G$205:S$214,S$216:S$222,S$225:S$231,S$183:S186),$E187-SUM($G187:R187))</f>
        <v>0</v>
      </c>
      <c r="T187" s="44">
        <f>+MIN(T$176-SUM($G$205:T$214,T$216:T$222,T$225:T$231,T$183:T186),$E187-SUM($G187:S187))</f>
        <v>0</v>
      </c>
      <c r="U187" s="44">
        <f>+MIN(U$176-SUM($G$205:U$214,U$216:U$222,U$225:U$231,U$183:U186),$E187-SUM($G187:T187))</f>
        <v>0</v>
      </c>
      <c r="V187" s="44">
        <f>+MIN(V$176-SUM($G$205:V$214,V$216:V$222,V$225:V$231,V$183:V186),$E187-SUM($G187:U187))</f>
        <v>0</v>
      </c>
      <c r="W187" s="44">
        <f>+MIN(W$176-SUM($G$205:W$214,W$216:W$222,W$225:W$231,W$183:W186),$E187-SUM($G187:V187))</f>
        <v>0</v>
      </c>
      <c r="X187" s="44">
        <f>+MIN(X$176-SUM($G$205:X$214,X$216:X$222,X$225:X$231,X$183:X186),$E187-SUM($G187:W187))</f>
        <v>0</v>
      </c>
      <c r="Y187" s="44">
        <f>+MIN(Y$176-SUM($G$205:Y$214,Y$216:Y$222,Y$225:Y$231,Y$183:Y186),$E187-SUM($G187:X187))</f>
        <v>0</v>
      </c>
      <c r="Z187" s="44">
        <f>+MIN(Z$176-SUM($G$205:Z$214,Z$216:Z$222,Z$225:Z$231,Z$183:Z186),$E187-SUM($G187:Y187))</f>
        <v>0</v>
      </c>
      <c r="AA187" s="44">
        <f>+MIN(AA$176-SUM($G$205:AA$214,AA$216:AA$222,AA$225:AA$231,AA$183:AA186),$E187-SUM($G187:Z187))</f>
        <v>0</v>
      </c>
      <c r="AB187" s="44">
        <f>+MIN(AB$176-SUM($G$205:AB$214,AB$216:AB$222,AB$225:AB$231,AB$183:AB186),$E187-SUM($G187:AA187))</f>
        <v>0</v>
      </c>
      <c r="AC187" s="44">
        <f>+MIN(AC$176-SUM($G$205:AC$214,AC$216:AC$222,AC$225:AC$231,AC$183:AC186),$E187-SUM($G187:AB187))</f>
        <v>0</v>
      </c>
      <c r="AD187" s="44">
        <f>+MIN(AD$176-SUM($G$205:AD$214,AD$216:AD$222,AD$225:AD$231,AD$183:AD186),$E187-SUM($G187:AC187))</f>
        <v>0</v>
      </c>
      <c r="AE187" s="44">
        <f>+MIN(AE$176-SUM($G$205:AE$214,AE$216:AE$222,AE$225:AE$231,AE$183:AE186),$E187-SUM($G187:AD187))</f>
        <v>0</v>
      </c>
      <c r="AF187" s="44">
        <f>+MIN(AF$176-SUM($G$205:AF$214,AF$216:AF$222,AF$225:AF$231,AF$183:AF186),$E187-SUM($G187:AE187))</f>
        <v>0</v>
      </c>
      <c r="AG187" s="44">
        <f>+MIN(AG$176-SUM($G$205:AG$214,AG$216:AG$222,AG$225:AG$231,AG$183:AG186),$E187-SUM($G187:AF187))</f>
        <v>0</v>
      </c>
      <c r="AH187" s="44">
        <f>+MIN(AH$176-SUM($G$205:AH$214,AH$216:AH$222,AH$225:AH$231,AH$183:AH186),$E187-SUM($G187:AG187))</f>
        <v>0</v>
      </c>
      <c r="AI187" s="44">
        <f>+MIN(AI$176-SUM($G$205:AI$214,AI$216:AI$222,AI$225:AI$231,AI$183:AI186),$E187-SUM($G187:AH187))</f>
        <v>0</v>
      </c>
      <c r="AJ187" s="44">
        <f>+MIN(AJ$176-SUM($G$205:AJ$214,AJ$216:AJ$222,AJ$225:AJ$231,AJ$183:AJ186),$E187-SUM($G187:AI187))</f>
        <v>0</v>
      </c>
      <c r="AK187" s="27"/>
      <c r="AL187" s="95" t="b">
        <f t="shared" si="61"/>
        <v>0</v>
      </c>
      <c r="AM187" s="95" t="b">
        <f t="shared" si="62"/>
        <v>0</v>
      </c>
      <c r="AN187" s="95" t="b">
        <f t="shared" si="63"/>
        <v>1</v>
      </c>
      <c r="AO187" s="95" t="b">
        <f t="shared" si="64"/>
        <v>0</v>
      </c>
      <c r="AP187" s="9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row>
    <row r="188" spans="2:86" hidden="1" x14ac:dyDescent="0.3">
      <c r="B188" s="27"/>
      <c r="C188" s="102" t="str">
        <f>Construction_Source_6</f>
        <v>Federal Housing Tax Credit Equity</v>
      </c>
      <c r="D188" s="152" t="str">
        <f>'[1]14. Funding Sources'!D56</f>
        <v>Specify Investor</v>
      </c>
      <c r="E188" s="157">
        <v>0</v>
      </c>
      <c r="F188" s="84">
        <v>0</v>
      </c>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27"/>
      <c r="AL188" s="95" t="b">
        <f t="shared" si="61"/>
        <v>0</v>
      </c>
      <c r="AM188" s="95" t="b">
        <f t="shared" si="62"/>
        <v>0</v>
      </c>
      <c r="AN188" s="95" t="b">
        <f t="shared" si="63"/>
        <v>1</v>
      </c>
      <c r="AO188" s="95" t="b">
        <f t="shared" si="64"/>
        <v>0</v>
      </c>
      <c r="AP188" s="9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row>
    <row r="189" spans="2:86" hidden="1" x14ac:dyDescent="0.3">
      <c r="B189" s="27"/>
      <c r="C189" s="102" t="str">
        <f>Construction_Source_7</f>
        <v>State Housing Tax Credit Equity</v>
      </c>
      <c r="D189" s="152" t="str">
        <f>'[1]14. Funding Sources'!D57</f>
        <v>Specify Investor</v>
      </c>
      <c r="E189" s="157">
        <v>0</v>
      </c>
      <c r="F189" s="84">
        <v>0</v>
      </c>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27"/>
      <c r="AL189" s="95" t="b">
        <f t="shared" si="61"/>
        <v>0</v>
      </c>
      <c r="AM189" s="95" t="b">
        <f t="shared" si="62"/>
        <v>0</v>
      </c>
      <c r="AN189" s="95" t="b">
        <f t="shared" si="63"/>
        <v>1</v>
      </c>
      <c r="AO189" s="95" t="b">
        <f t="shared" si="64"/>
        <v>0</v>
      </c>
      <c r="AP189" s="9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row>
    <row r="190" spans="2:86" hidden="1" x14ac:dyDescent="0.3">
      <c r="B190" s="27"/>
      <c r="C190" s="102" t="str">
        <f>Construction_Source_9</f>
        <v>State Historic Tax Credit Equity</v>
      </c>
      <c r="D190" s="152" t="str">
        <f>'[1]14. Funding Sources'!D58</f>
        <v>Specify Investor</v>
      </c>
      <c r="E190" s="157">
        <v>0</v>
      </c>
      <c r="F190" s="84">
        <v>0</v>
      </c>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27"/>
      <c r="AL190" s="95" t="b">
        <f t="shared" si="61"/>
        <v>0</v>
      </c>
      <c r="AM190" s="95" t="b">
        <f t="shared" si="62"/>
        <v>0</v>
      </c>
      <c r="AN190" s="95" t="b">
        <f t="shared" si="63"/>
        <v>1</v>
      </c>
      <c r="AO190" s="95" t="b">
        <f t="shared" si="64"/>
        <v>0</v>
      </c>
      <c r="AP190" s="9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row>
    <row r="191" spans="2:86" x14ac:dyDescent="0.3">
      <c r="B191" s="27"/>
      <c r="C191" s="105" t="s">
        <v>101</v>
      </c>
      <c r="D191" s="153"/>
      <c r="E191" s="157">
        <v>0</v>
      </c>
      <c r="F191" s="84">
        <f>SUM(F183:F190)</f>
        <v>0</v>
      </c>
      <c r="G191" s="84">
        <f>SUM(G183:G190)</f>
        <v>0</v>
      </c>
      <c r="H191" s="84">
        <f>SUM(H183:H190)</f>
        <v>0</v>
      </c>
      <c r="I191" s="84">
        <f t="shared" ref="I191:AJ191" si="65">SUM(I183:I190)</f>
        <v>0</v>
      </c>
      <c r="J191" s="84">
        <f t="shared" si="65"/>
        <v>0</v>
      </c>
      <c r="K191" s="84">
        <f t="shared" si="65"/>
        <v>0</v>
      </c>
      <c r="L191" s="84">
        <f t="shared" si="65"/>
        <v>0</v>
      </c>
      <c r="M191" s="84">
        <f t="shared" si="65"/>
        <v>0</v>
      </c>
      <c r="N191" s="84">
        <f t="shared" si="65"/>
        <v>0</v>
      </c>
      <c r="O191" s="84">
        <f t="shared" si="65"/>
        <v>0</v>
      </c>
      <c r="P191" s="84">
        <f t="shared" si="65"/>
        <v>0</v>
      </c>
      <c r="Q191" s="84">
        <f t="shared" si="65"/>
        <v>0</v>
      </c>
      <c r="R191" s="84">
        <f t="shared" si="65"/>
        <v>0</v>
      </c>
      <c r="S191" s="84">
        <f t="shared" si="65"/>
        <v>0</v>
      </c>
      <c r="T191" s="84">
        <f t="shared" si="65"/>
        <v>0</v>
      </c>
      <c r="U191" s="84">
        <f t="shared" si="65"/>
        <v>0</v>
      </c>
      <c r="V191" s="84">
        <f t="shared" si="65"/>
        <v>0</v>
      </c>
      <c r="W191" s="84">
        <f t="shared" si="65"/>
        <v>0</v>
      </c>
      <c r="X191" s="84">
        <f t="shared" si="65"/>
        <v>0</v>
      </c>
      <c r="Y191" s="84">
        <f t="shared" si="65"/>
        <v>0</v>
      </c>
      <c r="Z191" s="84">
        <f t="shared" si="65"/>
        <v>0</v>
      </c>
      <c r="AA191" s="84">
        <f t="shared" si="65"/>
        <v>0</v>
      </c>
      <c r="AB191" s="84">
        <f t="shared" si="65"/>
        <v>0</v>
      </c>
      <c r="AC191" s="84">
        <f t="shared" si="65"/>
        <v>0</v>
      </c>
      <c r="AD191" s="84">
        <f t="shared" si="65"/>
        <v>0</v>
      </c>
      <c r="AE191" s="84">
        <f t="shared" si="65"/>
        <v>0</v>
      </c>
      <c r="AF191" s="84">
        <f t="shared" si="65"/>
        <v>0</v>
      </c>
      <c r="AG191" s="84">
        <f t="shared" si="65"/>
        <v>0</v>
      </c>
      <c r="AH191" s="84">
        <f t="shared" si="65"/>
        <v>0</v>
      </c>
      <c r="AI191" s="84">
        <f t="shared" si="65"/>
        <v>0</v>
      </c>
      <c r="AJ191" s="84">
        <f t="shared" si="65"/>
        <v>0</v>
      </c>
      <c r="AK191" s="27"/>
      <c r="AL191" s="5"/>
      <c r="AM191" s="5"/>
      <c r="AN191" s="5"/>
      <c r="AO191" s="95"/>
      <c r="AP191" s="9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row>
    <row r="192" spans="2:86" x14ac:dyDescent="0.3">
      <c r="B192" s="27"/>
      <c r="C192" s="100" t="s">
        <v>102</v>
      </c>
      <c r="D192" s="100"/>
      <c r="E192" s="100" t="s">
        <v>103</v>
      </c>
      <c r="F192" s="100"/>
      <c r="G192" s="100"/>
      <c r="H192" s="100" t="str">
        <f>"Mo of Int - "&amp;G11</f>
        <v>Mo of Int - 1</v>
      </c>
      <c r="I192" s="100" t="str">
        <f t="shared" ref="I192:AJ192" si="66">"Mo of Int - "&amp;H11</f>
        <v>Mo of Int - 2</v>
      </c>
      <c r="J192" s="100" t="str">
        <f t="shared" si="66"/>
        <v>Mo of Int - 3</v>
      </c>
      <c r="K192" s="100" t="str">
        <f t="shared" si="66"/>
        <v>Mo of Int - 4</v>
      </c>
      <c r="L192" s="100" t="str">
        <f t="shared" si="66"/>
        <v>Mo of Int - 5</v>
      </c>
      <c r="M192" s="100" t="str">
        <f t="shared" si="66"/>
        <v>Mo of Int - 6</v>
      </c>
      <c r="N192" s="100" t="str">
        <f t="shared" si="66"/>
        <v>Mo of Int - 7</v>
      </c>
      <c r="O192" s="100" t="str">
        <f t="shared" si="66"/>
        <v>Mo of Int - 8</v>
      </c>
      <c r="P192" s="100" t="str">
        <f t="shared" si="66"/>
        <v>Mo of Int - 9</v>
      </c>
      <c r="Q192" s="100" t="str">
        <f t="shared" si="66"/>
        <v>Mo of Int - 10</v>
      </c>
      <c r="R192" s="100" t="str">
        <f t="shared" si="66"/>
        <v>Mo of Int - 11</v>
      </c>
      <c r="S192" s="100" t="str">
        <f t="shared" si="66"/>
        <v>Mo of Int - 12</v>
      </c>
      <c r="T192" s="100" t="str">
        <f t="shared" si="66"/>
        <v>Mo of Int - 13</v>
      </c>
      <c r="U192" s="100" t="str">
        <f t="shared" si="66"/>
        <v>Mo of Int - 14</v>
      </c>
      <c r="V192" s="100" t="str">
        <f t="shared" si="66"/>
        <v>Mo of Int - 15</v>
      </c>
      <c r="W192" s="100" t="str">
        <f t="shared" si="66"/>
        <v>Mo of Int - 16</v>
      </c>
      <c r="X192" s="100" t="str">
        <f t="shared" si="66"/>
        <v>Mo of Int - 17</v>
      </c>
      <c r="Y192" s="100" t="str">
        <f t="shared" si="66"/>
        <v>Mo of Int - 18</v>
      </c>
      <c r="Z192" s="100" t="str">
        <f t="shared" si="66"/>
        <v>Mo of Int - 19</v>
      </c>
      <c r="AA192" s="100" t="str">
        <f t="shared" si="66"/>
        <v>Mo of Int - 20</v>
      </c>
      <c r="AB192" s="100" t="str">
        <f t="shared" si="66"/>
        <v>Mo of Int - 21</v>
      </c>
      <c r="AC192" s="100" t="str">
        <f t="shared" si="66"/>
        <v>Mo of Int - 22</v>
      </c>
      <c r="AD192" s="100" t="str">
        <f t="shared" si="66"/>
        <v>Mo of Int - 23</v>
      </c>
      <c r="AE192" s="100" t="str">
        <f t="shared" si="66"/>
        <v>Mo of Int - 24</v>
      </c>
      <c r="AF192" s="100" t="str">
        <f t="shared" si="66"/>
        <v>Mo of Int - 25</v>
      </c>
      <c r="AG192" s="100" t="str">
        <f t="shared" si="66"/>
        <v>Mo of Int - 26</v>
      </c>
      <c r="AH192" s="100" t="str">
        <f t="shared" si="66"/>
        <v>Mo of Int - 27</v>
      </c>
      <c r="AI192" s="100" t="str">
        <f t="shared" si="66"/>
        <v>Mo of Int - 28</v>
      </c>
      <c r="AJ192" s="100" t="str">
        <f t="shared" si="66"/>
        <v>Mo of Int - 29</v>
      </c>
      <c r="AK192" s="27"/>
      <c r="AL192" s="5"/>
      <c r="AM192" s="5"/>
      <c r="AN192" s="5"/>
      <c r="AO192" s="95"/>
      <c r="AP192" s="9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row>
    <row r="193" spans="2:86" x14ac:dyDescent="0.3">
      <c r="B193" s="27"/>
      <c r="C193" s="106" t="str">
        <f t="shared" ref="C193:D197" si="67">C183</f>
        <v>Construction Loan 1</v>
      </c>
      <c r="D193" s="154" t="str">
        <f t="shared" si="67"/>
        <v>Enter Lender Name</v>
      </c>
      <c r="E193" s="84">
        <f>+SUM(H193:AJ193)</f>
        <v>0</v>
      </c>
      <c r="F193" s="33" t="s">
        <v>104</v>
      </c>
      <c r="G193" s="156">
        <v>0</v>
      </c>
      <c r="H193" s="43">
        <f>IF(G$11&lt;=$I$10,SUM($G183:G183)*$G193/12,0)</f>
        <v>0</v>
      </c>
      <c r="I193" s="43">
        <f>IF(H$11&lt;=$I$10,SUM($G183:H183)*$G193/12,0)</f>
        <v>0</v>
      </c>
      <c r="J193" s="43">
        <f>IF(I$11&lt;=$I$10,SUM($G183:I183)*$G193/12,0)</f>
        <v>0</v>
      </c>
      <c r="K193" s="43">
        <f>IF(J$11&lt;=$I$10,SUM($G183:J183)*$G193/12,0)</f>
        <v>0</v>
      </c>
      <c r="L193" s="43">
        <f>IF(K$11&lt;=$I$10,SUM($G183:K183)*$G193/12,0)</f>
        <v>0</v>
      </c>
      <c r="M193" s="43">
        <f>IF(L$11&lt;=$I$10,SUM($G183:L183)*$G193/12,0)</f>
        <v>0</v>
      </c>
      <c r="N193" s="43">
        <f>IF(M$11&lt;=$I$10,SUM($G183:M183)*$G193/12,0)</f>
        <v>0</v>
      </c>
      <c r="O193" s="43">
        <f>IF(N$11&lt;=$I$10,SUM($G183:N183)*$G193/12,0)</f>
        <v>0</v>
      </c>
      <c r="P193" s="43">
        <f>IF(O$11&lt;=$I$10,SUM($G183:O183)*$G193/12,0)</f>
        <v>0</v>
      </c>
      <c r="Q193" s="43">
        <f>IF(P$11&lt;=$I$10,SUM($G183:P183)*$G193/12,0)</f>
        <v>0</v>
      </c>
      <c r="R193" s="43">
        <f>IF(Q$11&lt;=$I$10,SUM($G183:Q183)*$G193/12,0)</f>
        <v>0</v>
      </c>
      <c r="S193" s="43">
        <f>IF(R$11&lt;=$I$10,SUM($G183:R183)*$G193/12,0)</f>
        <v>0</v>
      </c>
      <c r="T193" s="43">
        <f>IF(S$11&lt;=$I$10,SUM($G183:S183)*$G193/12,0)</f>
        <v>0</v>
      </c>
      <c r="U193" s="43">
        <f>IF(T$11&lt;=$I$10,SUM($G183:T183)*$G193/12,0)</f>
        <v>0</v>
      </c>
      <c r="V193" s="43">
        <f>IF(U$11&lt;=$I$10,SUM($G183:U183)*$G193/12,0)</f>
        <v>0</v>
      </c>
      <c r="W193" s="43">
        <f>IF(V$11&lt;=$I$10,SUM($G183:V183)*$G193/12,0)</f>
        <v>0</v>
      </c>
      <c r="X193" s="43">
        <f>IF(W$11&lt;=$I$10,SUM($G183:W183)*$G193/12,0)</f>
        <v>0</v>
      </c>
      <c r="Y193" s="43">
        <f>IF(X$11&lt;=$I$10,SUM($G183:X183)*$G193/12,0)</f>
        <v>0</v>
      </c>
      <c r="Z193" s="43">
        <f>IF(Y$11&lt;=$I$10,SUM($G183:Y183)*$G193/12,0)</f>
        <v>0</v>
      </c>
      <c r="AA193" s="43">
        <f>IF(Z$11&lt;=$I$10,SUM($G183:Z183)*$G193/12,0)</f>
        <v>0</v>
      </c>
      <c r="AB193" s="43">
        <f>IF(AA$11&lt;=$I$10,SUM($G183:AA183)*$G193/12,0)</f>
        <v>0</v>
      </c>
      <c r="AC193" s="43">
        <f>IF(AB$11&lt;=$I$10,SUM($G183:AB183)*$G193/12,0)</f>
        <v>0</v>
      </c>
      <c r="AD193" s="43">
        <f>IF(AC$11&lt;=$I$10,SUM($G183:AC183)*$G193/12,0)</f>
        <v>0</v>
      </c>
      <c r="AE193" s="43">
        <f>IF(AD$11&lt;=$I$10,SUM($G183:AD183)*$G193/12,0)</f>
        <v>0</v>
      </c>
      <c r="AF193" s="43">
        <f>IF(AE$11&lt;=$I$10,SUM($G183:AE183)*$G193/12,0)</f>
        <v>0</v>
      </c>
      <c r="AG193" s="43">
        <f>IF(AF$11&lt;=$I$10,SUM($G183:AF183)*$G193/12,0)</f>
        <v>0</v>
      </c>
      <c r="AH193" s="43">
        <f>IF(AG$11&lt;=$I$10,SUM($G183:AG183)*$G193/12,0)</f>
        <v>0</v>
      </c>
      <c r="AI193" s="43">
        <f>IF(AH$11&lt;=$I$10,SUM($G183:AH183)*$G193/12,0)</f>
        <v>0</v>
      </c>
      <c r="AJ193" s="43">
        <f>IF(AI$11&lt;=$I$10,SUM($G183:AI183)*$G193/12,0)</f>
        <v>0</v>
      </c>
      <c r="AK193" s="27"/>
      <c r="AL193" s="5"/>
      <c r="AM193" s="5"/>
      <c r="AN193" s="5"/>
      <c r="AO193" s="6"/>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row>
    <row r="194" spans="2:86" x14ac:dyDescent="0.3">
      <c r="B194" s="27"/>
      <c r="C194" s="106" t="str">
        <f t="shared" si="67"/>
        <v>Construction Loan 2</v>
      </c>
      <c r="D194" s="154" t="str">
        <f t="shared" si="67"/>
        <v>Enter Lender Name</v>
      </c>
      <c r="E194" s="84">
        <f>+SUM(H194:AJ194)</f>
        <v>0</v>
      </c>
      <c r="F194" s="33" t="s">
        <v>104</v>
      </c>
      <c r="G194" s="156">
        <v>0</v>
      </c>
      <c r="H194" s="43">
        <f>IF(G$11&lt;=$I$10,SUM($G184:G184)*$G194/12,0)</f>
        <v>0</v>
      </c>
      <c r="I194" s="43">
        <f>IF(H$11&lt;=$I$10,SUM($G184:H184)*$G194/12,0)</f>
        <v>0</v>
      </c>
      <c r="J194" s="43">
        <f>IF(I$11&lt;=$I$10,SUM($G184:I184)*$G194/12,0)</f>
        <v>0</v>
      </c>
      <c r="K194" s="43">
        <f>IF(J$11&lt;=$I$10,SUM($G184:J184)*$G194/12,0)</f>
        <v>0</v>
      </c>
      <c r="L194" s="43">
        <f>IF(K$11&lt;=$I$10,SUM($G184:K184)*$G194/12,0)</f>
        <v>0</v>
      </c>
      <c r="M194" s="43">
        <f>IF(L$11&lt;=$I$10,SUM($G184:L184)*$G194/12,0)</f>
        <v>0</v>
      </c>
      <c r="N194" s="43">
        <f>IF(M$11&lt;=$I$10,SUM($G184:M184)*$G194/12,0)</f>
        <v>0</v>
      </c>
      <c r="O194" s="43">
        <f>IF(N$11&lt;=$I$10,SUM($G184:N184)*$G194/12,0)</f>
        <v>0</v>
      </c>
      <c r="P194" s="43">
        <f>IF(O$11&lt;=$I$10,SUM($G184:O184)*$G194/12,0)</f>
        <v>0</v>
      </c>
      <c r="Q194" s="43">
        <f>IF(P$11&lt;=$I$10,SUM($G184:P184)*$G194/12,0)</f>
        <v>0</v>
      </c>
      <c r="R194" s="43">
        <f>IF(Q$11&lt;=$I$10,SUM($G184:Q184)*$G194/12,0)</f>
        <v>0</v>
      </c>
      <c r="S194" s="43">
        <f>IF(R$11&lt;=$I$10,SUM($G184:R184)*$G194/12,0)</f>
        <v>0</v>
      </c>
      <c r="T194" s="43">
        <f>IF(S$11&lt;=$I$10,SUM($G184:S184)*$G194/12,0)</f>
        <v>0</v>
      </c>
      <c r="U194" s="43">
        <f>IF(T$11&lt;=$I$10,SUM($G184:T184)*$G194/12,0)</f>
        <v>0</v>
      </c>
      <c r="V194" s="43">
        <f>IF(U$11&lt;=$I$10,SUM($G184:U184)*$G194/12,0)</f>
        <v>0</v>
      </c>
      <c r="W194" s="43">
        <f>IF(V$11&lt;=$I$10,SUM($G184:V184)*$G194/12,0)</f>
        <v>0</v>
      </c>
      <c r="X194" s="43">
        <f>IF(W$11&lt;=$I$10,SUM($G184:W184)*$G194/12,0)</f>
        <v>0</v>
      </c>
      <c r="Y194" s="43">
        <f>IF(X$11&lt;=$I$10,SUM($G184:X184)*$G194/12,0)</f>
        <v>0</v>
      </c>
      <c r="Z194" s="43">
        <f>IF(Y$11&lt;=$I$10,SUM($G184:Y184)*$G194/12,0)</f>
        <v>0</v>
      </c>
      <c r="AA194" s="43">
        <f>IF(Z$11&lt;=$I$10,SUM($G184:Z184)*$G194/12,0)</f>
        <v>0</v>
      </c>
      <c r="AB194" s="43">
        <f>IF(AA$11&lt;=$I$10,SUM($G184:AA184)*$G194/12,0)</f>
        <v>0</v>
      </c>
      <c r="AC194" s="43">
        <f>IF(AB$11&lt;=$I$10,SUM($G184:AB184)*$G194/12,0)</f>
        <v>0</v>
      </c>
      <c r="AD194" s="43">
        <f>IF(AC$11&lt;=$I$10,SUM($G184:AC184)*$G194/12,0)</f>
        <v>0</v>
      </c>
      <c r="AE194" s="43">
        <f>IF(AD$11&lt;=$I$10,SUM($G184:AD184)*$G194/12,0)</f>
        <v>0</v>
      </c>
      <c r="AF194" s="43">
        <f>IF(AE$11&lt;=$I$10,SUM($G184:AE184)*$G194/12,0)</f>
        <v>0</v>
      </c>
      <c r="AG194" s="43">
        <f>IF(AF$11&lt;=$I$10,SUM($G184:AF184)*$G194/12,0)</f>
        <v>0</v>
      </c>
      <c r="AH194" s="43">
        <f>IF(AG$11&lt;=$I$10,SUM($G184:AG184)*$G194/12,0)</f>
        <v>0</v>
      </c>
      <c r="AI194" s="43">
        <f>IF(AH$11&lt;=$I$10,SUM($G184:AH184)*$G194/12,0)</f>
        <v>0</v>
      </c>
      <c r="AJ194" s="43">
        <f>IF(AI$11&lt;=$I$10,SUM($G184:AI184)*$G194/12,0)</f>
        <v>0</v>
      </c>
      <c r="AK194" s="27"/>
      <c r="AL194" s="5"/>
      <c r="AM194" s="5"/>
      <c r="AN194" s="5"/>
      <c r="AO194" s="6"/>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row>
    <row r="195" spans="2:86" x14ac:dyDescent="0.3">
      <c r="B195" s="27"/>
      <c r="C195" s="106" t="str">
        <f t="shared" si="67"/>
        <v>Construction Loan 3</v>
      </c>
      <c r="D195" s="154" t="str">
        <f t="shared" si="67"/>
        <v>Enter Lender Name</v>
      </c>
      <c r="E195" s="84">
        <f>+SUM(H195:AJ195)</f>
        <v>0</v>
      </c>
      <c r="F195" s="33" t="s">
        <v>104</v>
      </c>
      <c r="G195" s="156">
        <f>Construction_Rate_3</f>
        <v>0</v>
      </c>
      <c r="H195" s="43">
        <f>IF(G$11&lt;=$I$10,SUM($G185:G185)*$G195/12,0)</f>
        <v>0</v>
      </c>
      <c r="I195" s="43">
        <f>IF(H$11&lt;=$I$10,SUM($G185:H185)*$G195/12,0)</f>
        <v>0</v>
      </c>
      <c r="J195" s="43">
        <f>IF(I$11&lt;=$I$10,SUM($G185:I185)*$G195/12,0)</f>
        <v>0</v>
      </c>
      <c r="K195" s="43">
        <f>IF(J$11&lt;=$I$10,SUM($G185:J185)*$G195/12,0)</f>
        <v>0</v>
      </c>
      <c r="L195" s="43">
        <f>IF(K$11&lt;=$I$10,SUM($G185:K185)*$G195/12,0)</f>
        <v>0</v>
      </c>
      <c r="M195" s="43">
        <f>IF(L$11&lt;=$I$10,SUM($G185:L185)*$G195/12,0)</f>
        <v>0</v>
      </c>
      <c r="N195" s="43">
        <f>IF(M$11&lt;=$I$10,SUM($G185:M185)*$G195/12,0)</f>
        <v>0</v>
      </c>
      <c r="O195" s="43">
        <f>IF(N$11&lt;=$I$10,SUM($G185:N185)*$G195/12,0)</f>
        <v>0</v>
      </c>
      <c r="P195" s="43">
        <f>IF(O$11&lt;=$I$10,SUM($G185:O185)*$G195/12,0)</f>
        <v>0</v>
      </c>
      <c r="Q195" s="43">
        <f>IF(P$11&lt;=$I$10,SUM($G185:P185)*$G195/12,0)</f>
        <v>0</v>
      </c>
      <c r="R195" s="43">
        <f>IF(Q$11&lt;=$I$10,SUM($G185:Q185)*$G195/12,0)</f>
        <v>0</v>
      </c>
      <c r="S195" s="43">
        <f>IF(R$11&lt;=$I$10,SUM($G185:R185)*$G195/12,0)</f>
        <v>0</v>
      </c>
      <c r="T195" s="43">
        <f>IF(S$11&lt;=$I$10,SUM($G185:S185)*$G195/12,0)</f>
        <v>0</v>
      </c>
      <c r="U195" s="43">
        <f>IF(T$11&lt;=$I$10,SUM($G185:T185)*$G195/12,0)</f>
        <v>0</v>
      </c>
      <c r="V195" s="43">
        <f>IF(U$11&lt;=$I$10,SUM($G185:U185)*$G195/12,0)</f>
        <v>0</v>
      </c>
      <c r="W195" s="43">
        <f>IF(V$11&lt;=$I$10,SUM($G185:V185)*$G195/12,0)</f>
        <v>0</v>
      </c>
      <c r="X195" s="43">
        <f>IF(W$11&lt;=$I$10,SUM($G185:W185)*$G195/12,0)</f>
        <v>0</v>
      </c>
      <c r="Y195" s="43">
        <f>IF(X$11&lt;=$I$10,SUM($G185:X185)*$G195/12,0)</f>
        <v>0</v>
      </c>
      <c r="Z195" s="43">
        <f>IF(Y$11&lt;=$I$10,SUM($G185:Y185)*$G195/12,0)</f>
        <v>0</v>
      </c>
      <c r="AA195" s="43">
        <f>IF(Z$11&lt;=$I$10,SUM($G185:Z185)*$G195/12,0)</f>
        <v>0</v>
      </c>
      <c r="AB195" s="43">
        <f>IF(AA$11&lt;=$I$10,SUM($G185:AA185)*$G195/12,0)</f>
        <v>0</v>
      </c>
      <c r="AC195" s="43">
        <f>IF(AB$11&lt;=$I$10,SUM($G185:AB185)*$G195/12,0)</f>
        <v>0</v>
      </c>
      <c r="AD195" s="43">
        <f>IF(AC$11&lt;=$I$10,SUM($G185:AC185)*$G195/12,0)</f>
        <v>0</v>
      </c>
      <c r="AE195" s="43">
        <f>IF(AD$11&lt;=$I$10,SUM($G185:AD185)*$G195/12,0)</f>
        <v>0</v>
      </c>
      <c r="AF195" s="43">
        <f>IF(AE$11&lt;=$I$10,SUM($G185:AE185)*$G195/12,0)</f>
        <v>0</v>
      </c>
      <c r="AG195" s="43">
        <f>IF(AF$11&lt;=$I$10,SUM($G185:AF185)*$G195/12,0)</f>
        <v>0</v>
      </c>
      <c r="AH195" s="43">
        <f>IF(AG$11&lt;=$I$10,SUM($G185:AG185)*$G195/12,0)</f>
        <v>0</v>
      </c>
      <c r="AI195" s="43">
        <f>IF(AH$11&lt;=$I$10,SUM($G185:AH185)*$G195/12,0)</f>
        <v>0</v>
      </c>
      <c r="AJ195" s="43">
        <f>IF(AI$11&lt;=$I$10,SUM($G185:AI185)*$G195/12,0)</f>
        <v>0</v>
      </c>
      <c r="AK195" s="27"/>
      <c r="AL195" s="5"/>
      <c r="AM195" s="5"/>
      <c r="AN195" s="5"/>
      <c r="AO195" s="6"/>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row>
    <row r="196" spans="2:86" x14ac:dyDescent="0.3">
      <c r="B196" s="27"/>
      <c r="C196" s="106" t="str">
        <f t="shared" si="67"/>
        <v>Construction Loan 4</v>
      </c>
      <c r="D196" s="154" t="str">
        <f t="shared" si="67"/>
        <v>Enter Lender Name</v>
      </c>
      <c r="E196" s="84">
        <f>+SUM(H196:AJ196)</f>
        <v>0</v>
      </c>
      <c r="F196" s="33" t="s">
        <v>104</v>
      </c>
      <c r="G196" s="156">
        <f>Construction_Rate_4</f>
        <v>0</v>
      </c>
      <c r="H196" s="43">
        <f>IF(G$11&lt;=$I$10,SUM($G186:G186)*$G196/12,0)</f>
        <v>0</v>
      </c>
      <c r="I196" s="43">
        <f>IF(H$11&lt;=$I$10,SUM($G186:H186)*$G196/12,0)</f>
        <v>0</v>
      </c>
      <c r="J196" s="43">
        <f>IF(I$11&lt;=$I$10,SUM($G186:I186)*$G196/12,0)</f>
        <v>0</v>
      </c>
      <c r="K196" s="43">
        <f>IF(J$11&lt;=$I$10,SUM($G186:J186)*$G196/12,0)</f>
        <v>0</v>
      </c>
      <c r="L196" s="43">
        <f>IF(K$11&lt;=$I$10,SUM($G186:K186)*$G196/12,0)</f>
        <v>0</v>
      </c>
      <c r="M196" s="43">
        <f>IF(L$11&lt;=$I$10,SUM($G186:L186)*$G196/12,0)</f>
        <v>0</v>
      </c>
      <c r="N196" s="43">
        <f>IF(M$11&lt;=$I$10,SUM($G186:M186)*$G196/12,0)</f>
        <v>0</v>
      </c>
      <c r="O196" s="43">
        <f>IF(N$11&lt;=$I$10,SUM($G186:N186)*$G196/12,0)</f>
        <v>0</v>
      </c>
      <c r="P196" s="43">
        <f>IF(O$11&lt;=$I$10,SUM($G186:O186)*$G196/12,0)</f>
        <v>0</v>
      </c>
      <c r="Q196" s="43">
        <f>IF(P$11&lt;=$I$10,SUM($G186:P186)*$G196/12,0)</f>
        <v>0</v>
      </c>
      <c r="R196" s="43">
        <f>IF(Q$11&lt;=$I$10,SUM($G186:Q186)*$G196/12,0)</f>
        <v>0</v>
      </c>
      <c r="S196" s="43">
        <f>IF(R$11&lt;=$I$10,SUM($G186:R186)*$G196/12,0)</f>
        <v>0</v>
      </c>
      <c r="T196" s="43">
        <f>IF(S$11&lt;=$I$10,SUM($G186:S186)*$G196/12,0)</f>
        <v>0</v>
      </c>
      <c r="U196" s="43">
        <f>IF(T$11&lt;=$I$10,SUM($G186:T186)*$G196/12,0)</f>
        <v>0</v>
      </c>
      <c r="V196" s="43">
        <f>IF(U$11&lt;=$I$10,SUM($G186:U186)*$G196/12,0)</f>
        <v>0</v>
      </c>
      <c r="W196" s="43">
        <f>IF(V$11&lt;=$I$10,SUM($G186:V186)*$G196/12,0)</f>
        <v>0</v>
      </c>
      <c r="X196" s="43">
        <f>IF(W$11&lt;=$I$10,SUM($G186:W186)*$G196/12,0)</f>
        <v>0</v>
      </c>
      <c r="Y196" s="43">
        <f>IF(X$11&lt;=$I$10,SUM($G186:X186)*$G196/12,0)</f>
        <v>0</v>
      </c>
      <c r="Z196" s="43">
        <f>IF(Y$11&lt;=$I$10,SUM($G186:Y186)*$G196/12,0)</f>
        <v>0</v>
      </c>
      <c r="AA196" s="43">
        <f>IF(Z$11&lt;=$I$10,SUM($G186:Z186)*$G196/12,0)</f>
        <v>0</v>
      </c>
      <c r="AB196" s="43">
        <f>IF(AA$11&lt;=$I$10,SUM($G186:AA186)*$G196/12,0)</f>
        <v>0</v>
      </c>
      <c r="AC196" s="43">
        <f>IF(AB$11&lt;=$I$10,SUM($G186:AB186)*$G196/12,0)</f>
        <v>0</v>
      </c>
      <c r="AD196" s="43">
        <f>IF(AC$11&lt;=$I$10,SUM($G186:AC186)*$G196/12,0)</f>
        <v>0</v>
      </c>
      <c r="AE196" s="43">
        <f>IF(AD$11&lt;=$I$10,SUM($G186:AD186)*$G196/12,0)</f>
        <v>0</v>
      </c>
      <c r="AF196" s="43">
        <f>IF(AE$11&lt;=$I$10,SUM($G186:AE186)*$G196/12,0)</f>
        <v>0</v>
      </c>
      <c r="AG196" s="43">
        <f>IF(AF$11&lt;=$I$10,SUM($G186:AF186)*$G196/12,0)</f>
        <v>0</v>
      </c>
      <c r="AH196" s="43">
        <f>IF(AG$11&lt;=$I$10,SUM($G186:AG186)*$G196/12,0)</f>
        <v>0</v>
      </c>
      <c r="AI196" s="43">
        <f>IF(AH$11&lt;=$I$10,SUM($G186:AH186)*$G196/12,0)</f>
        <v>0</v>
      </c>
      <c r="AJ196" s="43">
        <f>IF(AI$11&lt;=$I$10,SUM($G186:AI186)*$G196/12,0)</f>
        <v>0</v>
      </c>
      <c r="AK196" s="27"/>
      <c r="AL196" s="5"/>
      <c r="AM196" s="5"/>
      <c r="AN196" s="5"/>
      <c r="AO196" s="6"/>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row>
    <row r="197" spans="2:86" x14ac:dyDescent="0.3">
      <c r="B197" s="27"/>
      <c r="C197" s="106" t="str">
        <f t="shared" si="67"/>
        <v>Construction Loan 5</v>
      </c>
      <c r="D197" s="154" t="str">
        <f t="shared" si="67"/>
        <v>Enter Lender Name</v>
      </c>
      <c r="E197" s="84">
        <f>+SUM(H197:AJ197)</f>
        <v>0</v>
      </c>
      <c r="F197" s="33" t="s">
        <v>104</v>
      </c>
      <c r="G197" s="156">
        <v>0</v>
      </c>
      <c r="H197" s="43">
        <f>IF(G$11&lt;=$I$10,SUM($G187:G187)*$G197/12,0)</f>
        <v>0</v>
      </c>
      <c r="I197" s="43">
        <f>IF(H$11&lt;=$I$10,SUM($G187:H187)*$G197/12,0)</f>
        <v>0</v>
      </c>
      <c r="J197" s="43">
        <f>IF(I$11&lt;=$I$10,SUM($G187:I187)*$G197/12,0)</f>
        <v>0</v>
      </c>
      <c r="K197" s="43">
        <f>IF(J$11&lt;=$I$10,SUM($G187:J187)*$G197/12,0)</f>
        <v>0</v>
      </c>
      <c r="L197" s="43">
        <f>IF(K$11&lt;=$I$10,SUM($G187:K187)*$G197/12,0)</f>
        <v>0</v>
      </c>
      <c r="M197" s="43">
        <f>IF(L$11&lt;=$I$10,SUM($G187:L187)*$G197/12,0)</f>
        <v>0</v>
      </c>
      <c r="N197" s="43">
        <f>IF(M$11&lt;=$I$10,SUM($G187:M187)*$G197/12,0)</f>
        <v>0</v>
      </c>
      <c r="O197" s="43">
        <f>IF(N$11&lt;=$I$10,SUM($G187:N187)*$G197/12,0)</f>
        <v>0</v>
      </c>
      <c r="P197" s="43">
        <f>IF(O$11&lt;=$I$10,SUM($G187:O187)*$G197/12,0)</f>
        <v>0</v>
      </c>
      <c r="Q197" s="43">
        <f>IF(P$11&lt;=$I$10,SUM($G187:P187)*$G197/12,0)</f>
        <v>0</v>
      </c>
      <c r="R197" s="43">
        <f>IF(Q$11&lt;=$I$10,SUM($G187:Q187)*$G197/12,0)</f>
        <v>0</v>
      </c>
      <c r="S197" s="43">
        <f>IF(R$11&lt;=$I$10,SUM($G187:R187)*$G197/12,0)</f>
        <v>0</v>
      </c>
      <c r="T197" s="43">
        <f>IF(S$11&lt;=$I$10,SUM($G187:S187)*$G197/12,0)</f>
        <v>0</v>
      </c>
      <c r="U197" s="43">
        <f>IF(T$11&lt;=$I$10,SUM($G187:T187)*$G197/12,0)</f>
        <v>0</v>
      </c>
      <c r="V197" s="43">
        <f>IF(U$11&lt;=$I$10,SUM($G187:U187)*$G197/12,0)</f>
        <v>0</v>
      </c>
      <c r="W197" s="43">
        <f>IF(V$11&lt;=$I$10,SUM($G187:V187)*$G197/12,0)</f>
        <v>0</v>
      </c>
      <c r="X197" s="43">
        <f>IF(W$11&lt;=$I$10,SUM($G187:W187)*$G197/12,0)</f>
        <v>0</v>
      </c>
      <c r="Y197" s="43">
        <f>IF(X$11&lt;=$I$10,SUM($G187:X187)*$G197/12,0)</f>
        <v>0</v>
      </c>
      <c r="Z197" s="43">
        <f>IF(Y$11&lt;=$I$10,SUM($G187:Y187)*$G197/12,0)</f>
        <v>0</v>
      </c>
      <c r="AA197" s="43">
        <f>IF(Z$11&lt;=$I$10,SUM($G187:Z187)*$G197/12,0)</f>
        <v>0</v>
      </c>
      <c r="AB197" s="43">
        <f>IF(AA$11&lt;=$I$10,SUM($G187:AA187)*$G197/12,0)</f>
        <v>0</v>
      </c>
      <c r="AC197" s="43">
        <f>IF(AB$11&lt;=$I$10,SUM($G187:AB187)*$G197/12,0)</f>
        <v>0</v>
      </c>
      <c r="AD197" s="43">
        <f>IF(AC$11&lt;=$I$10,SUM($G187:AC187)*$G197/12,0)</f>
        <v>0</v>
      </c>
      <c r="AE197" s="43">
        <f>IF(AD$11&lt;=$I$10,SUM($G187:AD187)*$G197/12,0)</f>
        <v>0</v>
      </c>
      <c r="AF197" s="43">
        <f>IF(AE$11&lt;=$I$10,SUM($G187:AE187)*$G197/12,0)</f>
        <v>0</v>
      </c>
      <c r="AG197" s="43">
        <f>IF(AF$11&lt;=$I$10,SUM($G187:AF187)*$G197/12,0)</f>
        <v>0</v>
      </c>
      <c r="AH197" s="43">
        <f>IF(AG$11&lt;=$I$10,SUM($G187:AG187)*$G197/12,0)</f>
        <v>0</v>
      </c>
      <c r="AI197" s="43">
        <f>IF(AH$11&lt;=$I$10,SUM($G187:AH187)*$G197/12,0)</f>
        <v>0</v>
      </c>
      <c r="AJ197" s="43">
        <f>IF(AI$11&lt;=$I$10,SUM($G187:AI187)*$G197/12,0)</f>
        <v>0</v>
      </c>
      <c r="AK197" s="27"/>
      <c r="AL197" s="5"/>
      <c r="AM197" s="5"/>
      <c r="AN197" s="5"/>
      <c r="AO197" s="6"/>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row>
    <row r="198" spans="2:86" x14ac:dyDescent="0.3">
      <c r="B198" s="27"/>
      <c r="C198" s="32" t="s">
        <v>105</v>
      </c>
      <c r="D198" s="33" t="s">
        <v>106</v>
      </c>
      <c r="E198" s="84">
        <f>SUM(G198:AJ198)</f>
        <v>0</v>
      </c>
      <c r="F198" s="33" t="s">
        <v>104</v>
      </c>
      <c r="G198" s="156">
        <f>+Rate_1</f>
        <v>0</v>
      </c>
      <c r="H198" s="108">
        <v>0</v>
      </c>
      <c r="I198" s="108">
        <v>0</v>
      </c>
      <c r="J198" s="108">
        <v>0</v>
      </c>
      <c r="K198" s="108">
        <v>0</v>
      </c>
      <c r="L198" s="108">
        <v>0</v>
      </c>
      <c r="M198" s="108">
        <v>0</v>
      </c>
      <c r="N198" s="108">
        <v>0</v>
      </c>
      <c r="O198" s="108">
        <v>0</v>
      </c>
      <c r="P198" s="108">
        <v>0</v>
      </c>
      <c r="Q198" s="108">
        <v>0</v>
      </c>
      <c r="R198" s="108">
        <v>0</v>
      </c>
      <c r="S198" s="108">
        <v>0</v>
      </c>
      <c r="T198" s="108">
        <v>0</v>
      </c>
      <c r="U198" s="108">
        <v>0</v>
      </c>
      <c r="V198" s="108">
        <v>0</v>
      </c>
      <c r="W198" s="108">
        <v>0</v>
      </c>
      <c r="X198" s="108">
        <v>0</v>
      </c>
      <c r="Y198" s="108">
        <v>0</v>
      </c>
      <c r="Z198" s="108">
        <v>0</v>
      </c>
      <c r="AA198" s="108">
        <v>0</v>
      </c>
      <c r="AB198" s="108">
        <v>0</v>
      </c>
      <c r="AC198" s="108">
        <v>0</v>
      </c>
      <c r="AD198" s="108">
        <v>0</v>
      </c>
      <c r="AE198" s="108">
        <v>0</v>
      </c>
      <c r="AF198" s="108">
        <v>0</v>
      </c>
      <c r="AG198" s="108">
        <v>0</v>
      </c>
      <c r="AH198" s="108">
        <v>0</v>
      </c>
      <c r="AI198" s="108">
        <v>0</v>
      </c>
      <c r="AJ198" s="108">
        <v>0</v>
      </c>
      <c r="AK198" s="27"/>
      <c r="AL198" s="5"/>
      <c r="AM198" s="5"/>
      <c r="AN198" s="5"/>
      <c r="AO198" s="6"/>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row>
    <row r="199" spans="2:86" x14ac:dyDescent="0.3">
      <c r="B199" s="27"/>
      <c r="C199" s="32" t="s">
        <v>107</v>
      </c>
      <c r="D199" s="33"/>
      <c r="E199" s="155">
        <v>0</v>
      </c>
      <c r="F199" s="110" t="s">
        <v>108</v>
      </c>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27"/>
      <c r="AL199" s="5"/>
      <c r="AM199" s="5"/>
      <c r="AN199" s="5"/>
      <c r="AO199" s="6"/>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row>
    <row r="200" spans="2:86" x14ac:dyDescent="0.3">
      <c r="B200" s="27"/>
      <c r="C200" s="32" t="s">
        <v>109</v>
      </c>
      <c r="D200" s="33"/>
      <c r="E200" s="109">
        <f>+E83</f>
        <v>0</v>
      </c>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27"/>
      <c r="AL200" s="5"/>
      <c r="AM200" s="5"/>
      <c r="AN200" s="5"/>
      <c r="AO200" s="6"/>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row>
    <row r="201" spans="2:86" x14ac:dyDescent="0.3">
      <c r="B201" s="27"/>
      <c r="C201" s="111" t="s">
        <v>110</v>
      </c>
      <c r="D201" s="111"/>
      <c r="E201" s="112"/>
      <c r="F201" s="112"/>
      <c r="G201" s="113"/>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27"/>
      <c r="AL201" s="5"/>
      <c r="AM201" s="5"/>
      <c r="AN201" s="5"/>
      <c r="AO201" s="6"/>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row>
    <row r="202" spans="2:86" x14ac:dyDescent="0.3">
      <c r="B202" s="27"/>
      <c r="C202" s="97" t="s">
        <v>111</v>
      </c>
      <c r="D202" s="97"/>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27"/>
      <c r="AL202" s="5"/>
      <c r="AM202" s="5"/>
      <c r="AN202" s="5"/>
      <c r="AO202" s="6"/>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row>
    <row r="203" spans="2:86" x14ac:dyDescent="0.3">
      <c r="B203" s="27"/>
      <c r="C203" s="28" t="s">
        <v>112</v>
      </c>
      <c r="D203" s="28"/>
      <c r="E203" s="100" t="s">
        <v>96</v>
      </c>
      <c r="F203" s="100" t="s">
        <v>42</v>
      </c>
      <c r="G203" s="100" t="str">
        <f t="shared" ref="G203:AJ203" si="68">G182</f>
        <v>Draw #1</v>
      </c>
      <c r="H203" s="100" t="str">
        <f t="shared" si="68"/>
        <v>Draw #2</v>
      </c>
      <c r="I203" s="100" t="str">
        <f t="shared" si="68"/>
        <v>Draw #3</v>
      </c>
      <c r="J203" s="100" t="str">
        <f t="shared" si="68"/>
        <v>Draw #4</v>
      </c>
      <c r="K203" s="100" t="str">
        <f t="shared" si="68"/>
        <v>Draw #5</v>
      </c>
      <c r="L203" s="100" t="str">
        <f t="shared" si="68"/>
        <v>Draw #6</v>
      </c>
      <c r="M203" s="100" t="str">
        <f t="shared" si="68"/>
        <v>Draw #7</v>
      </c>
      <c r="N203" s="100" t="str">
        <f t="shared" si="68"/>
        <v>Draw #8</v>
      </c>
      <c r="O203" s="100" t="str">
        <f t="shared" si="68"/>
        <v>Draw #9</v>
      </c>
      <c r="P203" s="100" t="str">
        <f t="shared" si="68"/>
        <v>Draw #10</v>
      </c>
      <c r="Q203" s="100" t="str">
        <f t="shared" si="68"/>
        <v>Draw #11</v>
      </c>
      <c r="R203" s="100" t="str">
        <f t="shared" si="68"/>
        <v>Draw #12</v>
      </c>
      <c r="S203" s="100" t="str">
        <f t="shared" si="68"/>
        <v>Draw #13</v>
      </c>
      <c r="T203" s="100" t="str">
        <f t="shared" si="68"/>
        <v>Draw #14</v>
      </c>
      <c r="U203" s="100" t="str">
        <f t="shared" si="68"/>
        <v>Draw #15</v>
      </c>
      <c r="V203" s="100" t="str">
        <f t="shared" si="68"/>
        <v>Draw #16</v>
      </c>
      <c r="W203" s="100" t="str">
        <f t="shared" si="68"/>
        <v>Draw #17</v>
      </c>
      <c r="X203" s="100" t="str">
        <f t="shared" si="68"/>
        <v>Draw #18</v>
      </c>
      <c r="Y203" s="100" t="str">
        <f t="shared" si="68"/>
        <v>Draw $19</v>
      </c>
      <c r="Z203" s="100" t="str">
        <f t="shared" si="68"/>
        <v>Draw #20</v>
      </c>
      <c r="AA203" s="100" t="str">
        <f t="shared" si="68"/>
        <v>Draw #21</v>
      </c>
      <c r="AB203" s="100" t="str">
        <f t="shared" si="68"/>
        <v>Draw #22</v>
      </c>
      <c r="AC203" s="100" t="str">
        <f t="shared" si="68"/>
        <v>Draw #23</v>
      </c>
      <c r="AD203" s="100" t="str">
        <f t="shared" si="68"/>
        <v>Draw #24</v>
      </c>
      <c r="AE203" s="100" t="str">
        <f t="shared" si="68"/>
        <v>Draw #25</v>
      </c>
      <c r="AF203" s="100" t="str">
        <f t="shared" si="68"/>
        <v>Draw #26</v>
      </c>
      <c r="AG203" s="100" t="str">
        <f t="shared" si="68"/>
        <v>Draw #26</v>
      </c>
      <c r="AH203" s="100" t="str">
        <f t="shared" si="68"/>
        <v>Draw #28</v>
      </c>
      <c r="AI203" s="100" t="str">
        <f t="shared" si="68"/>
        <v>Draw #29</v>
      </c>
      <c r="AJ203" s="100" t="str">
        <f t="shared" si="68"/>
        <v>Draw #30</v>
      </c>
      <c r="AK203" s="27"/>
      <c r="AL203" s="5"/>
      <c r="AM203" s="5"/>
      <c r="AN203" s="5"/>
      <c r="AO203" s="6"/>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row>
    <row r="204" spans="2:86" x14ac:dyDescent="0.3">
      <c r="B204" s="27"/>
      <c r="C204" s="114" t="s">
        <v>113</v>
      </c>
      <c r="D204" s="114"/>
      <c r="E204" s="115"/>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27"/>
      <c r="AL204" s="5"/>
      <c r="AM204" s="5"/>
      <c r="AN204" s="5"/>
      <c r="AO204" s="6"/>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row>
    <row r="205" spans="2:86" x14ac:dyDescent="0.3">
      <c r="B205" s="27"/>
      <c r="C205" s="102" t="str">
        <f>IF(Source_1="","",Source_1)</f>
        <v>WHEDA Loan</v>
      </c>
      <c r="D205" s="152" t="s">
        <v>140</v>
      </c>
      <c r="E205" s="157"/>
      <c r="F205" s="84">
        <f t="shared" ref="F205:F214" si="69">E205-SUM(G205:AJ205)</f>
        <v>0</v>
      </c>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27"/>
      <c r="AL205" s="5"/>
      <c r="AM205" s="5"/>
      <c r="AN205" s="5"/>
      <c r="AO205" s="6"/>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row>
    <row r="206" spans="2:86" x14ac:dyDescent="0.3">
      <c r="B206" s="27"/>
      <c r="C206" s="102" t="str">
        <f>IF(Source_2="","",Source_2)</f>
        <v>WHEDA Subordinate Loan 1</v>
      </c>
      <c r="D206" s="152" t="s">
        <v>140</v>
      </c>
      <c r="E206" s="157"/>
      <c r="F206" s="84">
        <f t="shared" si="69"/>
        <v>0</v>
      </c>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27"/>
      <c r="AL206" s="5"/>
      <c r="AM206" s="5"/>
      <c r="AN206" s="5"/>
      <c r="AO206" s="6"/>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row>
    <row r="207" spans="2:86" x14ac:dyDescent="0.3">
      <c r="B207" s="27"/>
      <c r="C207" s="102" t="str">
        <f>IF(Source_3="","",Source_3)</f>
        <v>WHEDA Subordinate Loan 2</v>
      </c>
      <c r="D207" s="152" t="s">
        <v>140</v>
      </c>
      <c r="E207" s="157"/>
      <c r="F207" s="84">
        <f t="shared" si="69"/>
        <v>0</v>
      </c>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27"/>
      <c r="AL207" s="5"/>
      <c r="AM207" s="5"/>
      <c r="AN207" s="5"/>
      <c r="AO207" s="6"/>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row>
    <row r="208" spans="2:86" x14ac:dyDescent="0.3">
      <c r="B208" s="27"/>
      <c r="C208" s="102" t="str">
        <f>IF(Source_4="","",Source_4)</f>
        <v>WHEDA Subordinate Loan 3</v>
      </c>
      <c r="D208" s="152" t="s">
        <v>140</v>
      </c>
      <c r="E208" s="157"/>
      <c r="F208" s="84">
        <f t="shared" si="69"/>
        <v>0</v>
      </c>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27"/>
      <c r="AL208" s="5"/>
      <c r="AM208" s="5"/>
      <c r="AN208" s="5"/>
      <c r="AO208" s="6"/>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row>
    <row r="209" spans="2:86" x14ac:dyDescent="0.3">
      <c r="B209" s="27"/>
      <c r="C209" s="102" t="str">
        <f>IF(Source_5="","",Source_5)</f>
        <v>WHEDA Subordinate Loan 4 (TIF LOAN)</v>
      </c>
      <c r="D209" s="152" t="s">
        <v>140</v>
      </c>
      <c r="E209" s="157"/>
      <c r="F209" s="84">
        <f t="shared" si="69"/>
        <v>0</v>
      </c>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27"/>
      <c r="AL209" s="5"/>
      <c r="AM209" s="5"/>
      <c r="AN209" s="5"/>
      <c r="AO209" s="6"/>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row>
    <row r="210" spans="2:86" x14ac:dyDescent="0.3">
      <c r="B210" s="27"/>
      <c r="C210" s="102" t="str">
        <f>IF(Source_6="","",Source_6)</f>
        <v>AHP Loan</v>
      </c>
      <c r="D210" s="152" t="s">
        <v>141</v>
      </c>
      <c r="E210" s="157"/>
      <c r="F210" s="84">
        <f t="shared" si="69"/>
        <v>0</v>
      </c>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27"/>
      <c r="AL210" s="5"/>
      <c r="AM210" s="5"/>
      <c r="AN210" s="5"/>
      <c r="AO210" s="6"/>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row>
    <row r="211" spans="2:86" x14ac:dyDescent="0.3">
      <c r="B211" s="27"/>
      <c r="C211" s="102" t="str">
        <f>IF(Source_7="","",Source_7)</f>
        <v>HOME Loan</v>
      </c>
      <c r="D211" s="152" t="s">
        <v>142</v>
      </c>
      <c r="E211" s="157"/>
      <c r="F211" s="84">
        <f t="shared" si="69"/>
        <v>0</v>
      </c>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27"/>
      <c r="AL211" s="5"/>
      <c r="AM211" s="5"/>
      <c r="AN211" s="5"/>
      <c r="AO211" s="6"/>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row>
    <row r="212" spans="2:86" x14ac:dyDescent="0.3">
      <c r="B212" s="27"/>
      <c r="C212" s="102" t="str">
        <f>IF(Source_8="","",Source_8)</f>
        <v>Other</v>
      </c>
      <c r="D212" s="152" t="s">
        <v>140</v>
      </c>
      <c r="E212" s="157"/>
      <c r="F212" s="84">
        <f t="shared" si="69"/>
        <v>0</v>
      </c>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27"/>
      <c r="AL212" s="5"/>
      <c r="AM212" s="5"/>
      <c r="AN212" s="5"/>
      <c r="AO212" s="6"/>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row>
    <row r="213" spans="2:86" x14ac:dyDescent="0.3">
      <c r="B213" s="27"/>
      <c r="C213" s="102" t="str">
        <f>IF(Source_9="","",Source_9)</f>
        <v>Other</v>
      </c>
      <c r="D213" s="152" t="s">
        <v>140</v>
      </c>
      <c r="E213" s="157"/>
      <c r="F213" s="84">
        <f t="shared" si="69"/>
        <v>0</v>
      </c>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27"/>
      <c r="AL213" s="5"/>
      <c r="AM213" s="5"/>
      <c r="AN213" s="5"/>
      <c r="AO213" s="6"/>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row>
    <row r="214" spans="2:86" x14ac:dyDescent="0.3">
      <c r="B214" s="27"/>
      <c r="C214" s="102" t="str">
        <f>IF(Source_10="","",Source_10)</f>
        <v>Other</v>
      </c>
      <c r="D214" s="152" t="s">
        <v>138</v>
      </c>
      <c r="E214" s="157"/>
      <c r="F214" s="84">
        <f t="shared" si="69"/>
        <v>0</v>
      </c>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27"/>
      <c r="AL214" s="5"/>
      <c r="AM214" s="5"/>
      <c r="AN214" s="5"/>
      <c r="AO214" s="6"/>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row>
    <row r="215" spans="2:86" x14ac:dyDescent="0.3">
      <c r="B215" s="27"/>
      <c r="C215" s="114" t="s">
        <v>114</v>
      </c>
      <c r="D215" s="114"/>
      <c r="E215" s="114"/>
      <c r="F215" s="114"/>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27"/>
      <c r="AL215" s="5"/>
      <c r="AM215" s="5"/>
      <c r="AN215" s="5"/>
      <c r="AO215" s="6"/>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row>
    <row r="216" spans="2:86" x14ac:dyDescent="0.3">
      <c r="B216" s="27"/>
      <c r="C216" s="102" t="str">
        <f>Grant_1</f>
        <v>HOME Grant</v>
      </c>
      <c r="D216" s="152" t="s">
        <v>143</v>
      </c>
      <c r="E216" s="157">
        <v>0</v>
      </c>
      <c r="F216" s="84">
        <f t="shared" ref="F216:F222" si="70">+E216-SUM(G216:AJ216)</f>
        <v>0</v>
      </c>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27"/>
      <c r="AL216" s="5"/>
      <c r="AM216" s="5"/>
      <c r="AN216" s="5"/>
      <c r="AO216" s="6"/>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row>
    <row r="217" spans="2:86" x14ac:dyDescent="0.3">
      <c r="B217" s="27"/>
      <c r="C217" s="102" t="str">
        <f>Grant_2</f>
        <v>CDBG Grant</v>
      </c>
      <c r="D217" s="152" t="s">
        <v>144</v>
      </c>
      <c r="E217" s="157">
        <v>0</v>
      </c>
      <c r="F217" s="84">
        <f t="shared" si="70"/>
        <v>0</v>
      </c>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27"/>
      <c r="AL217" s="5"/>
      <c r="AM217" s="5"/>
      <c r="AN217" s="5"/>
      <c r="AO217" s="6"/>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row>
    <row r="218" spans="2:86" x14ac:dyDescent="0.3">
      <c r="B218" s="27"/>
      <c r="C218" s="102" t="str">
        <f>Grant_3</f>
        <v>WHEDA Foundation Grant</v>
      </c>
      <c r="D218" s="152" t="s">
        <v>144</v>
      </c>
      <c r="E218" s="157">
        <v>0</v>
      </c>
      <c r="F218" s="84">
        <f t="shared" si="70"/>
        <v>0</v>
      </c>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27"/>
      <c r="AL218" s="5"/>
      <c r="AM218" s="5"/>
      <c r="AN218" s="5"/>
      <c r="AO218" s="6"/>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row>
    <row r="219" spans="2:86" x14ac:dyDescent="0.3">
      <c r="B219" s="27"/>
      <c r="C219" s="102" t="str">
        <f>Grant_4</f>
        <v>Other</v>
      </c>
      <c r="D219" s="152" t="s">
        <v>144</v>
      </c>
      <c r="E219" s="157">
        <v>0</v>
      </c>
      <c r="F219" s="84">
        <f t="shared" si="70"/>
        <v>0</v>
      </c>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27"/>
      <c r="AL219" s="5"/>
      <c r="AM219" s="5"/>
      <c r="AN219" s="5"/>
      <c r="AO219" s="6"/>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row>
    <row r="220" spans="2:86" x14ac:dyDescent="0.3">
      <c r="B220" s="27"/>
      <c r="C220" s="102" t="str">
        <f>Grant_5</f>
        <v>Other</v>
      </c>
      <c r="D220" s="152" t="s">
        <v>144</v>
      </c>
      <c r="E220" s="157">
        <v>0</v>
      </c>
      <c r="F220" s="84">
        <f t="shared" si="70"/>
        <v>0</v>
      </c>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27"/>
      <c r="AL220" s="5"/>
      <c r="AM220" s="5"/>
      <c r="AN220" s="5"/>
      <c r="AO220" s="6"/>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row>
    <row r="221" spans="2:86" x14ac:dyDescent="0.3">
      <c r="B221" s="27"/>
      <c r="C221" s="102" t="str">
        <f>Grant_6</f>
        <v>Other</v>
      </c>
      <c r="D221" s="152" t="s">
        <v>144</v>
      </c>
      <c r="E221" s="157">
        <v>0</v>
      </c>
      <c r="F221" s="84">
        <f t="shared" si="70"/>
        <v>0</v>
      </c>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27"/>
      <c r="AL221" s="5"/>
      <c r="AM221" s="5"/>
      <c r="AN221" s="5"/>
      <c r="AO221" s="6"/>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row>
    <row r="222" spans="2:86" x14ac:dyDescent="0.3">
      <c r="B222" s="27"/>
      <c r="C222" s="102" t="str">
        <f>Grant_7</f>
        <v>Other</v>
      </c>
      <c r="D222" s="152" t="s">
        <v>144</v>
      </c>
      <c r="E222" s="157">
        <v>0</v>
      </c>
      <c r="F222" s="84">
        <f t="shared" si="70"/>
        <v>0</v>
      </c>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27"/>
      <c r="AL222" s="5"/>
      <c r="AM222" s="5"/>
      <c r="AN222" s="5"/>
      <c r="AO222" s="6"/>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row>
    <row r="223" spans="2:86" x14ac:dyDescent="0.3">
      <c r="B223" s="27"/>
      <c r="C223" s="114" t="s">
        <v>115</v>
      </c>
      <c r="D223" s="114"/>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27"/>
      <c r="AL223" s="5"/>
      <c r="AM223" s="5"/>
      <c r="AN223" s="5"/>
      <c r="AO223" s="6"/>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row>
    <row r="224" spans="2:86" x14ac:dyDescent="0.3">
      <c r="B224" s="27"/>
      <c r="C224" s="28" t="s">
        <v>112</v>
      </c>
      <c r="D224" s="28"/>
      <c r="E224" s="100" t="s">
        <v>96</v>
      </c>
      <c r="F224" s="100" t="s">
        <v>42</v>
      </c>
      <c r="G224" s="100" t="str">
        <f t="shared" ref="G224:AJ224" si="71">G203</f>
        <v>Draw #1</v>
      </c>
      <c r="H224" s="100" t="str">
        <f t="shared" si="71"/>
        <v>Draw #2</v>
      </c>
      <c r="I224" s="100" t="str">
        <f t="shared" si="71"/>
        <v>Draw #3</v>
      </c>
      <c r="J224" s="100" t="str">
        <f t="shared" si="71"/>
        <v>Draw #4</v>
      </c>
      <c r="K224" s="100" t="str">
        <f t="shared" si="71"/>
        <v>Draw #5</v>
      </c>
      <c r="L224" s="100" t="str">
        <f t="shared" si="71"/>
        <v>Draw #6</v>
      </c>
      <c r="M224" s="100" t="str">
        <f t="shared" si="71"/>
        <v>Draw #7</v>
      </c>
      <c r="N224" s="100" t="str">
        <f t="shared" si="71"/>
        <v>Draw #8</v>
      </c>
      <c r="O224" s="100" t="str">
        <f t="shared" si="71"/>
        <v>Draw #9</v>
      </c>
      <c r="P224" s="100" t="str">
        <f t="shared" si="71"/>
        <v>Draw #10</v>
      </c>
      <c r="Q224" s="100" t="str">
        <f t="shared" si="71"/>
        <v>Draw #11</v>
      </c>
      <c r="R224" s="100" t="str">
        <f t="shared" si="71"/>
        <v>Draw #12</v>
      </c>
      <c r="S224" s="100" t="str">
        <f t="shared" si="71"/>
        <v>Draw #13</v>
      </c>
      <c r="T224" s="100" t="str">
        <f t="shared" si="71"/>
        <v>Draw #14</v>
      </c>
      <c r="U224" s="100" t="str">
        <f t="shared" si="71"/>
        <v>Draw #15</v>
      </c>
      <c r="V224" s="100" t="str">
        <f t="shared" si="71"/>
        <v>Draw #16</v>
      </c>
      <c r="W224" s="100" t="str">
        <f t="shared" si="71"/>
        <v>Draw #17</v>
      </c>
      <c r="X224" s="100" t="str">
        <f t="shared" si="71"/>
        <v>Draw #18</v>
      </c>
      <c r="Y224" s="100" t="str">
        <f t="shared" si="71"/>
        <v>Draw $19</v>
      </c>
      <c r="Z224" s="100" t="str">
        <f t="shared" si="71"/>
        <v>Draw #20</v>
      </c>
      <c r="AA224" s="100" t="str">
        <f t="shared" si="71"/>
        <v>Draw #21</v>
      </c>
      <c r="AB224" s="100" t="str">
        <f t="shared" si="71"/>
        <v>Draw #22</v>
      </c>
      <c r="AC224" s="100" t="str">
        <f t="shared" si="71"/>
        <v>Draw #23</v>
      </c>
      <c r="AD224" s="100" t="str">
        <f t="shared" si="71"/>
        <v>Draw #24</v>
      </c>
      <c r="AE224" s="100" t="str">
        <f t="shared" si="71"/>
        <v>Draw #25</v>
      </c>
      <c r="AF224" s="100" t="str">
        <f t="shared" si="71"/>
        <v>Draw #26</v>
      </c>
      <c r="AG224" s="100" t="str">
        <f t="shared" si="71"/>
        <v>Draw #26</v>
      </c>
      <c r="AH224" s="100" t="str">
        <f t="shared" si="71"/>
        <v>Draw #28</v>
      </c>
      <c r="AI224" s="100" t="str">
        <f t="shared" si="71"/>
        <v>Draw #29</v>
      </c>
      <c r="AJ224" s="100" t="str">
        <f t="shared" si="71"/>
        <v>Draw #30</v>
      </c>
      <c r="AK224" s="27"/>
      <c r="AL224" s="5"/>
      <c r="AM224" s="5"/>
      <c r="AN224" s="5"/>
      <c r="AO224" s="6"/>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row>
    <row r="225" spans="2:86" x14ac:dyDescent="0.3">
      <c r="B225" s="27"/>
      <c r="C225" s="102" t="str">
        <f>'[1]14. Funding Sources'!C39</f>
        <v>Federal Housing Tax Credit Equity</v>
      </c>
      <c r="D225" s="152" t="s">
        <v>145</v>
      </c>
      <c r="E225" s="157">
        <v>0</v>
      </c>
      <c r="F225" s="84">
        <f>+E225-SUM(G225:AJ225)</f>
        <v>0</v>
      </c>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27"/>
      <c r="AL225" s="5"/>
      <c r="AM225" s="5"/>
      <c r="AN225" s="5"/>
      <c r="AO225" s="6"/>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row>
    <row r="226" spans="2:86" x14ac:dyDescent="0.3">
      <c r="B226" s="27"/>
      <c r="C226" s="102" t="str">
        <f>'[1]14. Funding Sources'!C41</f>
        <v>Federal Historic Tax Credit Equity</v>
      </c>
      <c r="D226" s="152" t="s">
        <v>145</v>
      </c>
      <c r="E226" s="157">
        <v>0</v>
      </c>
      <c r="F226" s="84">
        <f t="shared" ref="F226:F231" si="72">+E226-SUM(G226:AJ226)</f>
        <v>0</v>
      </c>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27"/>
      <c r="AL226" s="5"/>
      <c r="AM226" s="5"/>
      <c r="AN226" s="5"/>
      <c r="AO226" s="6"/>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row>
    <row r="227" spans="2:86" x14ac:dyDescent="0.3">
      <c r="B227" s="27"/>
      <c r="C227" s="102" t="str">
        <f>'[1]14. Funding Sources'!C42</f>
        <v>State Housing Tax Credit Equity</v>
      </c>
      <c r="D227" s="152" t="s">
        <v>145</v>
      </c>
      <c r="E227" s="157">
        <v>0</v>
      </c>
      <c r="F227" s="84">
        <f t="shared" si="72"/>
        <v>0</v>
      </c>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27"/>
      <c r="AL227" s="5"/>
      <c r="AM227" s="5"/>
      <c r="AN227" s="5"/>
      <c r="AO227" s="6"/>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row>
    <row r="228" spans="2:86" x14ac:dyDescent="0.3">
      <c r="B228" s="27"/>
      <c r="C228" s="102" t="str">
        <f>'[1]14. Funding Sources'!C43</f>
        <v>State Historic Tax Credit Equity</v>
      </c>
      <c r="D228" s="152" t="s">
        <v>145</v>
      </c>
      <c r="E228" s="157">
        <v>0</v>
      </c>
      <c r="F228" s="84">
        <f t="shared" si="72"/>
        <v>0</v>
      </c>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27"/>
      <c r="AL228" s="5"/>
      <c r="AM228" s="5"/>
      <c r="AN228" s="5"/>
      <c r="AO228" s="6"/>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row>
    <row r="229" spans="2:86" x14ac:dyDescent="0.3">
      <c r="B229" s="27"/>
      <c r="C229" s="102" t="str">
        <f>'[1]14. Funding Sources'!C44</f>
        <v>Deferred Developer Fees</v>
      </c>
      <c r="D229" s="152" t="s">
        <v>145</v>
      </c>
      <c r="E229" s="157">
        <v>0</v>
      </c>
      <c r="F229" s="84">
        <f t="shared" si="72"/>
        <v>0</v>
      </c>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27"/>
      <c r="AL229" s="5"/>
      <c r="AM229" s="5"/>
      <c r="AN229" s="5"/>
      <c r="AO229" s="6"/>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row>
    <row r="230" spans="2:86" x14ac:dyDescent="0.3">
      <c r="B230" s="27"/>
      <c r="C230" s="102" t="str">
        <f>'[1]14. Funding Sources'!C45</f>
        <v>Owner Investment</v>
      </c>
      <c r="D230" s="152" t="s">
        <v>145</v>
      </c>
      <c r="E230" s="157">
        <v>0</v>
      </c>
      <c r="F230" s="84">
        <f t="shared" si="72"/>
        <v>0</v>
      </c>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27"/>
      <c r="AL230" s="5"/>
      <c r="AM230" s="5"/>
      <c r="AN230" s="5"/>
      <c r="AO230" s="6"/>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row>
    <row r="231" spans="2:86" x14ac:dyDescent="0.3">
      <c r="B231" s="27"/>
      <c r="C231" s="102" t="str">
        <f>'[1]14. Funding Sources'!C46</f>
        <v>Other</v>
      </c>
      <c r="D231" s="152" t="s">
        <v>145</v>
      </c>
      <c r="E231" s="157">
        <v>0</v>
      </c>
      <c r="F231" s="84">
        <f t="shared" si="72"/>
        <v>0</v>
      </c>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27"/>
      <c r="AL231" s="5"/>
      <c r="AM231" s="5"/>
      <c r="AN231" s="5"/>
      <c r="AO231" s="6"/>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row>
    <row r="232" spans="2:86" x14ac:dyDescent="0.3">
      <c r="B232" s="27"/>
      <c r="C232" s="32"/>
      <c r="D232" s="32"/>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27"/>
      <c r="AL232" s="5"/>
      <c r="AM232" s="5"/>
      <c r="AN232" s="5"/>
      <c r="AO232" s="6"/>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row>
    <row r="233" spans="2:86" ht="18" x14ac:dyDescent="0.3">
      <c r="B233" s="27"/>
      <c r="C233" s="86" t="s">
        <v>116</v>
      </c>
      <c r="D233" s="86"/>
      <c r="E233" s="118">
        <f>SUM(E225:E231)+SUM(E216:E222)+SUM(E205:E214)+E191</f>
        <v>0</v>
      </c>
      <c r="F233" s="119">
        <f t="shared" ref="F233:F234" si="73">+E233-SUM(G233:AJ233)</f>
        <v>0</v>
      </c>
      <c r="G233" s="118">
        <f>SUM(G225:G231)+SUM(G216:G222)+SUM(G205:G214)+G191</f>
        <v>0</v>
      </c>
      <c r="H233" s="118">
        <f t="shared" ref="H233:AJ233" si="74">SUM(H225:H231)+SUM(H216:H222)+SUM(H205:H214)+H191</f>
        <v>0</v>
      </c>
      <c r="I233" s="118">
        <f t="shared" si="74"/>
        <v>0</v>
      </c>
      <c r="J233" s="118">
        <f t="shared" si="74"/>
        <v>0</v>
      </c>
      <c r="K233" s="118">
        <f t="shared" si="74"/>
        <v>0</v>
      </c>
      <c r="L233" s="118">
        <f t="shared" si="74"/>
        <v>0</v>
      </c>
      <c r="M233" s="118">
        <f t="shared" si="74"/>
        <v>0</v>
      </c>
      <c r="N233" s="118">
        <f t="shared" si="74"/>
        <v>0</v>
      </c>
      <c r="O233" s="118">
        <f t="shared" si="74"/>
        <v>0</v>
      </c>
      <c r="P233" s="118">
        <f t="shared" si="74"/>
        <v>0</v>
      </c>
      <c r="Q233" s="118">
        <f t="shared" si="74"/>
        <v>0</v>
      </c>
      <c r="R233" s="118">
        <f t="shared" si="74"/>
        <v>0</v>
      </c>
      <c r="S233" s="118">
        <f t="shared" si="74"/>
        <v>0</v>
      </c>
      <c r="T233" s="118">
        <f t="shared" si="74"/>
        <v>0</v>
      </c>
      <c r="U233" s="118">
        <f t="shared" si="74"/>
        <v>0</v>
      </c>
      <c r="V233" s="118">
        <f t="shared" si="74"/>
        <v>0</v>
      </c>
      <c r="W233" s="118">
        <f t="shared" si="74"/>
        <v>0</v>
      </c>
      <c r="X233" s="118">
        <f t="shared" si="74"/>
        <v>0</v>
      </c>
      <c r="Y233" s="118">
        <f t="shared" si="74"/>
        <v>0</v>
      </c>
      <c r="Z233" s="118">
        <f t="shared" si="74"/>
        <v>0</v>
      </c>
      <c r="AA233" s="118">
        <f t="shared" si="74"/>
        <v>0</v>
      </c>
      <c r="AB233" s="118">
        <f t="shared" si="74"/>
        <v>0</v>
      </c>
      <c r="AC233" s="118">
        <f t="shared" si="74"/>
        <v>0</v>
      </c>
      <c r="AD233" s="118">
        <f t="shared" si="74"/>
        <v>0</v>
      </c>
      <c r="AE233" s="118">
        <f t="shared" si="74"/>
        <v>0</v>
      </c>
      <c r="AF233" s="118">
        <f t="shared" si="74"/>
        <v>0</v>
      </c>
      <c r="AG233" s="118">
        <f t="shared" si="74"/>
        <v>0</v>
      </c>
      <c r="AH233" s="118">
        <f t="shared" si="74"/>
        <v>0</v>
      </c>
      <c r="AI233" s="118">
        <f t="shared" si="74"/>
        <v>0</v>
      </c>
      <c r="AJ233" s="118">
        <f t="shared" si="74"/>
        <v>0</v>
      </c>
      <c r="AK233" s="27"/>
      <c r="AL233" s="5"/>
      <c r="AM233" s="5"/>
      <c r="AN233" s="5"/>
      <c r="AO233" s="6"/>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row>
    <row r="234" spans="2:86" ht="18" hidden="1" x14ac:dyDescent="0.3">
      <c r="B234" s="27"/>
      <c r="C234" s="86" t="s">
        <v>117</v>
      </c>
      <c r="D234" s="86"/>
      <c r="E234" s="118">
        <f>SUM(E205:E231)</f>
        <v>0</v>
      </c>
      <c r="F234" s="119">
        <f t="shared" si="73"/>
        <v>0</v>
      </c>
      <c r="G234" s="118">
        <f>SUM(G205:G231)</f>
        <v>0</v>
      </c>
      <c r="H234" s="118">
        <f t="shared" ref="H234:AJ234" si="75">SUM(H205:H231)</f>
        <v>0</v>
      </c>
      <c r="I234" s="118">
        <f t="shared" si="75"/>
        <v>0</v>
      </c>
      <c r="J234" s="118">
        <f t="shared" si="75"/>
        <v>0</v>
      </c>
      <c r="K234" s="118">
        <f t="shared" si="75"/>
        <v>0</v>
      </c>
      <c r="L234" s="118">
        <f t="shared" si="75"/>
        <v>0</v>
      </c>
      <c r="M234" s="118">
        <f t="shared" si="75"/>
        <v>0</v>
      </c>
      <c r="N234" s="118">
        <f t="shared" si="75"/>
        <v>0</v>
      </c>
      <c r="O234" s="118">
        <f t="shared" si="75"/>
        <v>0</v>
      </c>
      <c r="P234" s="118">
        <f t="shared" si="75"/>
        <v>0</v>
      </c>
      <c r="Q234" s="118">
        <f t="shared" si="75"/>
        <v>0</v>
      </c>
      <c r="R234" s="118">
        <f t="shared" si="75"/>
        <v>0</v>
      </c>
      <c r="S234" s="118">
        <f t="shared" si="75"/>
        <v>0</v>
      </c>
      <c r="T234" s="118">
        <f t="shared" si="75"/>
        <v>0</v>
      </c>
      <c r="U234" s="118">
        <f t="shared" si="75"/>
        <v>0</v>
      </c>
      <c r="V234" s="118">
        <f t="shared" si="75"/>
        <v>0</v>
      </c>
      <c r="W234" s="118">
        <f t="shared" si="75"/>
        <v>0</v>
      </c>
      <c r="X234" s="118">
        <f t="shared" si="75"/>
        <v>0</v>
      </c>
      <c r="Y234" s="118">
        <f t="shared" si="75"/>
        <v>0</v>
      </c>
      <c r="Z234" s="118">
        <f t="shared" si="75"/>
        <v>0</v>
      </c>
      <c r="AA234" s="118">
        <f t="shared" si="75"/>
        <v>0</v>
      </c>
      <c r="AB234" s="118">
        <f t="shared" si="75"/>
        <v>0</v>
      </c>
      <c r="AC234" s="118">
        <f t="shared" si="75"/>
        <v>0</v>
      </c>
      <c r="AD234" s="118">
        <f t="shared" si="75"/>
        <v>0</v>
      </c>
      <c r="AE234" s="118">
        <f t="shared" si="75"/>
        <v>0</v>
      </c>
      <c r="AF234" s="118">
        <f t="shared" si="75"/>
        <v>0</v>
      </c>
      <c r="AG234" s="118">
        <f t="shared" si="75"/>
        <v>0</v>
      </c>
      <c r="AH234" s="118">
        <f t="shared" si="75"/>
        <v>0</v>
      </c>
      <c r="AI234" s="118">
        <f t="shared" si="75"/>
        <v>0</v>
      </c>
      <c r="AJ234" s="118">
        <f t="shared" si="75"/>
        <v>0</v>
      </c>
      <c r="AK234" s="27"/>
      <c r="AL234" s="5"/>
      <c r="AM234" s="5"/>
      <c r="AN234" s="5"/>
      <c r="AO234" s="6"/>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row>
    <row r="235" spans="2:86" ht="18" x14ac:dyDescent="0.3">
      <c r="B235" s="27"/>
      <c r="C235" s="86"/>
      <c r="D235" s="120" t="s">
        <v>118</v>
      </c>
      <c r="E235" s="121">
        <f>+E176-E234</f>
        <v>0</v>
      </c>
      <c r="F235" s="120"/>
      <c r="G235" s="121">
        <f>G176-G233</f>
        <v>0</v>
      </c>
      <c r="H235" s="121">
        <f t="shared" ref="H235:AJ235" si="76">+H176-H233</f>
        <v>0</v>
      </c>
      <c r="I235" s="121">
        <f t="shared" si="76"/>
        <v>0</v>
      </c>
      <c r="J235" s="121">
        <f t="shared" si="76"/>
        <v>0</v>
      </c>
      <c r="K235" s="121">
        <f t="shared" si="76"/>
        <v>0</v>
      </c>
      <c r="L235" s="121">
        <f t="shared" si="76"/>
        <v>0</v>
      </c>
      <c r="M235" s="121">
        <f t="shared" si="76"/>
        <v>0</v>
      </c>
      <c r="N235" s="121">
        <f t="shared" si="76"/>
        <v>0</v>
      </c>
      <c r="O235" s="121">
        <f t="shared" si="76"/>
        <v>0</v>
      </c>
      <c r="P235" s="121">
        <f t="shared" si="76"/>
        <v>0</v>
      </c>
      <c r="Q235" s="121">
        <f t="shared" si="76"/>
        <v>0</v>
      </c>
      <c r="R235" s="121">
        <f t="shared" si="76"/>
        <v>0</v>
      </c>
      <c r="S235" s="121">
        <f t="shared" si="76"/>
        <v>0</v>
      </c>
      <c r="T235" s="121">
        <f t="shared" si="76"/>
        <v>0</v>
      </c>
      <c r="U235" s="121">
        <f t="shared" si="76"/>
        <v>0</v>
      </c>
      <c r="V235" s="121">
        <f t="shared" si="76"/>
        <v>0</v>
      </c>
      <c r="W235" s="121">
        <f t="shared" si="76"/>
        <v>0</v>
      </c>
      <c r="X235" s="121">
        <f t="shared" si="76"/>
        <v>0</v>
      </c>
      <c r="Y235" s="121">
        <f t="shared" si="76"/>
        <v>0</v>
      </c>
      <c r="Z235" s="121">
        <f t="shared" si="76"/>
        <v>0</v>
      </c>
      <c r="AA235" s="121">
        <f t="shared" si="76"/>
        <v>0</v>
      </c>
      <c r="AB235" s="121">
        <f t="shared" si="76"/>
        <v>0</v>
      </c>
      <c r="AC235" s="121">
        <f t="shared" si="76"/>
        <v>0</v>
      </c>
      <c r="AD235" s="121">
        <f t="shared" si="76"/>
        <v>0</v>
      </c>
      <c r="AE235" s="121">
        <f t="shared" si="76"/>
        <v>0</v>
      </c>
      <c r="AF235" s="121">
        <f t="shared" si="76"/>
        <v>0</v>
      </c>
      <c r="AG235" s="121">
        <f t="shared" si="76"/>
        <v>0</v>
      </c>
      <c r="AH235" s="121">
        <f t="shared" si="76"/>
        <v>0</v>
      </c>
      <c r="AI235" s="121">
        <f t="shared" si="76"/>
        <v>0</v>
      </c>
      <c r="AJ235" s="121">
        <f t="shared" si="76"/>
        <v>0</v>
      </c>
      <c r="AK235" s="27"/>
      <c r="AL235" s="5"/>
      <c r="AM235" s="5"/>
      <c r="AN235" s="5"/>
      <c r="AO235" s="6"/>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row>
    <row r="236" spans="2:86" x14ac:dyDescent="0.3">
      <c r="B236" s="27"/>
      <c r="C236" s="32"/>
      <c r="D236" s="91" t="s">
        <v>119</v>
      </c>
      <c r="E236" s="122"/>
      <c r="F236" s="123"/>
      <c r="G236" s="123">
        <f>F236+G233</f>
        <v>0</v>
      </c>
      <c r="H236" s="123">
        <f t="shared" ref="H236:AJ236" si="77">G236+H233</f>
        <v>0</v>
      </c>
      <c r="I236" s="123">
        <f t="shared" si="77"/>
        <v>0</v>
      </c>
      <c r="J236" s="123">
        <f t="shared" si="77"/>
        <v>0</v>
      </c>
      <c r="K236" s="123">
        <f t="shared" si="77"/>
        <v>0</v>
      </c>
      <c r="L236" s="123">
        <f t="shared" si="77"/>
        <v>0</v>
      </c>
      <c r="M236" s="123">
        <f t="shared" si="77"/>
        <v>0</v>
      </c>
      <c r="N236" s="123">
        <f t="shared" si="77"/>
        <v>0</v>
      </c>
      <c r="O236" s="123">
        <f t="shared" si="77"/>
        <v>0</v>
      </c>
      <c r="P236" s="123">
        <f t="shared" si="77"/>
        <v>0</v>
      </c>
      <c r="Q236" s="123">
        <f t="shared" si="77"/>
        <v>0</v>
      </c>
      <c r="R236" s="123">
        <f t="shared" si="77"/>
        <v>0</v>
      </c>
      <c r="S236" s="123">
        <f t="shared" si="77"/>
        <v>0</v>
      </c>
      <c r="T236" s="123">
        <f t="shared" si="77"/>
        <v>0</v>
      </c>
      <c r="U236" s="123">
        <f t="shared" si="77"/>
        <v>0</v>
      </c>
      <c r="V236" s="123">
        <f t="shared" si="77"/>
        <v>0</v>
      </c>
      <c r="W236" s="123">
        <f t="shared" si="77"/>
        <v>0</v>
      </c>
      <c r="X236" s="123">
        <f t="shared" si="77"/>
        <v>0</v>
      </c>
      <c r="Y236" s="123">
        <f t="shared" si="77"/>
        <v>0</v>
      </c>
      <c r="Z236" s="123">
        <f t="shared" si="77"/>
        <v>0</v>
      </c>
      <c r="AA236" s="123">
        <f t="shared" si="77"/>
        <v>0</v>
      </c>
      <c r="AB236" s="123">
        <f t="shared" si="77"/>
        <v>0</v>
      </c>
      <c r="AC236" s="123">
        <f t="shared" si="77"/>
        <v>0</v>
      </c>
      <c r="AD236" s="123">
        <f t="shared" si="77"/>
        <v>0</v>
      </c>
      <c r="AE236" s="123">
        <f t="shared" si="77"/>
        <v>0</v>
      </c>
      <c r="AF236" s="123">
        <f t="shared" si="77"/>
        <v>0</v>
      </c>
      <c r="AG236" s="123">
        <f t="shared" si="77"/>
        <v>0</v>
      </c>
      <c r="AH236" s="123">
        <f t="shared" si="77"/>
        <v>0</v>
      </c>
      <c r="AI236" s="123">
        <f t="shared" si="77"/>
        <v>0</v>
      </c>
      <c r="AJ236" s="123">
        <f t="shared" si="77"/>
        <v>0</v>
      </c>
      <c r="AK236" s="27"/>
      <c r="AL236" s="5"/>
      <c r="AM236" s="5"/>
      <c r="AN236" s="5"/>
      <c r="AO236" s="6"/>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row>
    <row r="237" spans="2:86" x14ac:dyDescent="0.3">
      <c r="B237" s="27"/>
      <c r="C237" s="111"/>
      <c r="D237" s="111"/>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27"/>
      <c r="AL237" s="5"/>
      <c r="AM237" s="5"/>
      <c r="AN237" s="5"/>
      <c r="AO237" s="6"/>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row>
    <row r="238" spans="2:86" hidden="1" x14ac:dyDescent="0.3">
      <c r="B238" s="27"/>
      <c r="C238" s="32" t="s">
        <v>120</v>
      </c>
      <c r="D238" s="33" t="s">
        <v>104</v>
      </c>
      <c r="E238" s="107">
        <f>Construction_Rate_1</f>
        <v>0</v>
      </c>
      <c r="F238" s="110"/>
      <c r="G238" s="110"/>
      <c r="H238" s="43">
        <v>0</v>
      </c>
      <c r="I238" s="43">
        <f>SUM($G183:H183)*$E238/12</f>
        <v>0</v>
      </c>
      <c r="J238" s="43">
        <f>SUM($G183:I183)*$E238/12</f>
        <v>0</v>
      </c>
      <c r="K238" s="43">
        <f>SUM($G183:J183)*$E238/12</f>
        <v>0</v>
      </c>
      <c r="L238" s="43">
        <f>SUM($G183:K183)*$E238/12</f>
        <v>0</v>
      </c>
      <c r="M238" s="43">
        <f>SUM($G183:L183)*$E238/12</f>
        <v>0</v>
      </c>
      <c r="N238" s="43">
        <f>SUM($G183:M183)*$E238/12</f>
        <v>0</v>
      </c>
      <c r="O238" s="43">
        <f>SUM($G183:N183)*$E238/12</f>
        <v>0</v>
      </c>
      <c r="P238" s="43">
        <f>SUM($G183:O183)*$E238/12</f>
        <v>0</v>
      </c>
      <c r="Q238" s="43">
        <f>SUM($G183:P183)*$E238/12</f>
        <v>0</v>
      </c>
      <c r="R238" s="43">
        <f>SUM($G183:Q183)*$E238/12</f>
        <v>0</v>
      </c>
      <c r="S238" s="43">
        <f>SUM($G183:R183)*$E238/12</f>
        <v>0</v>
      </c>
      <c r="T238" s="43">
        <f>SUM($G183:S183)*$E238/12</f>
        <v>0</v>
      </c>
      <c r="U238" s="43">
        <f>SUM($G183:T183)*$E238/12</f>
        <v>0</v>
      </c>
      <c r="V238" s="43">
        <f>SUM($G183:U183)*$E238/12</f>
        <v>0</v>
      </c>
      <c r="W238" s="43">
        <f>SUM($G183:V183)*$E238/12</f>
        <v>0</v>
      </c>
      <c r="X238" s="43">
        <f>SUM($G183:W183)*$E238/12</f>
        <v>0</v>
      </c>
      <c r="Y238" s="43">
        <f>SUM($G183:X183)*$E238/12</f>
        <v>0</v>
      </c>
      <c r="Z238" s="43">
        <f>SUM($G183:Y183)*$E238/12</f>
        <v>0</v>
      </c>
      <c r="AA238" s="43">
        <f>SUM($G183:Z183)*$E238/12</f>
        <v>0</v>
      </c>
      <c r="AB238" s="43">
        <f>SUM($G183:AA183)*$E238/12</f>
        <v>0</v>
      </c>
      <c r="AC238" s="43">
        <f>SUM($G183:AB183)*$E238/12</f>
        <v>0</v>
      </c>
      <c r="AD238" s="43">
        <f>SUM($G183:AC183)*$E238/12</f>
        <v>0</v>
      </c>
      <c r="AE238" s="43">
        <f>SUM($G183:AD183)*$E238/12</f>
        <v>0</v>
      </c>
      <c r="AF238" s="43">
        <f>SUM($G183:AE183)*$E238/12</f>
        <v>0</v>
      </c>
      <c r="AG238" s="43">
        <f>SUM($G183:AF183)*$E238/12</f>
        <v>0</v>
      </c>
      <c r="AH238" s="43">
        <f>SUM($G183:AG183)*$E238/12</f>
        <v>0</v>
      </c>
      <c r="AI238" s="43">
        <f>SUM($G183:AH183)*$E238/12</f>
        <v>0</v>
      </c>
      <c r="AJ238" s="43">
        <f>SUM($G183:AI183)*$E238/12</f>
        <v>0</v>
      </c>
      <c r="AK238" s="27"/>
      <c r="AL238" s="5"/>
      <c r="AM238" s="5"/>
      <c r="AN238" s="5"/>
      <c r="AO238" s="6"/>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row>
    <row r="239" spans="2:86" hidden="1" x14ac:dyDescent="0.3">
      <c r="B239" s="27"/>
      <c r="C239" s="32" t="s">
        <v>121</v>
      </c>
      <c r="D239" s="33" t="s">
        <v>104</v>
      </c>
      <c r="E239" s="107">
        <f>Construction_Rate_2</f>
        <v>0</v>
      </c>
      <c r="F239" s="110"/>
      <c r="G239" s="110"/>
      <c r="H239" s="43">
        <f>SUM($G184:G184)*$E239/12</f>
        <v>0</v>
      </c>
      <c r="I239" s="43">
        <f>SUM($G184:H184)*$E239/12</f>
        <v>0</v>
      </c>
      <c r="J239" s="43">
        <f>SUM($G184:I184)*$E239/12</f>
        <v>0</v>
      </c>
      <c r="K239" s="43">
        <f>SUM($G184:J184)*$E239/12</f>
        <v>0</v>
      </c>
      <c r="L239" s="43">
        <f>SUM($G184:K184)*$E239/12</f>
        <v>0</v>
      </c>
      <c r="M239" s="43">
        <f>SUM($G184:L184)*$E239/12</f>
        <v>0</v>
      </c>
      <c r="N239" s="43">
        <f>SUM($G184:M184)*$E239/12</f>
        <v>0</v>
      </c>
      <c r="O239" s="43">
        <f>SUM($G184:N184)*$E239/12</f>
        <v>0</v>
      </c>
      <c r="P239" s="43">
        <f>SUM($G184:O184)*$E239/12</f>
        <v>0</v>
      </c>
      <c r="Q239" s="43">
        <f>SUM($G184:P184)*$E239/12</f>
        <v>0</v>
      </c>
      <c r="R239" s="43">
        <f>SUM($G184:Q184)*$E239/12</f>
        <v>0</v>
      </c>
      <c r="S239" s="43">
        <f>SUM($G184:R184)*$E239/12</f>
        <v>0</v>
      </c>
      <c r="T239" s="43">
        <f>SUM($G184:S184)*$E239/12</f>
        <v>0</v>
      </c>
      <c r="U239" s="43">
        <f>SUM($G184:T184)*$E239/12</f>
        <v>0</v>
      </c>
      <c r="V239" s="43">
        <f>SUM($G184:U184)*$E239/12</f>
        <v>0</v>
      </c>
      <c r="W239" s="43">
        <f>SUM($G184:V184)*$E239/12</f>
        <v>0</v>
      </c>
      <c r="X239" s="43">
        <f>SUM($G184:W184)*$E239/12</f>
        <v>0</v>
      </c>
      <c r="Y239" s="43">
        <f>SUM($G184:X184)*$E239/12</f>
        <v>0</v>
      </c>
      <c r="Z239" s="43">
        <f>SUM($G184:Y184)*$E239/12</f>
        <v>0</v>
      </c>
      <c r="AA239" s="43">
        <f>SUM($G184:Z184)*$E239/12</f>
        <v>0</v>
      </c>
      <c r="AB239" s="43">
        <f>SUM($G184:AA184)*$E239/12</f>
        <v>0</v>
      </c>
      <c r="AC239" s="43">
        <f>SUM($G184:AB184)*$E239/12</f>
        <v>0</v>
      </c>
      <c r="AD239" s="43">
        <f>SUM($G184:AC184)*$E239/12</f>
        <v>0</v>
      </c>
      <c r="AE239" s="43">
        <f>SUM($G184:AD184)*$E239/12</f>
        <v>0</v>
      </c>
      <c r="AF239" s="43">
        <f>SUM($G184:AE184)*$E239/12</f>
        <v>0</v>
      </c>
      <c r="AG239" s="43">
        <f>SUM($G184:AF184)*$E239/12</f>
        <v>0</v>
      </c>
      <c r="AH239" s="43">
        <f>SUM($G184:AG184)*$E239/12</f>
        <v>0</v>
      </c>
      <c r="AI239" s="43">
        <f>SUM($G184:AH184)*$E239/12</f>
        <v>0</v>
      </c>
      <c r="AJ239" s="43">
        <f>SUM($G184:AI184)*$E239/12</f>
        <v>0</v>
      </c>
      <c r="AK239" s="27"/>
      <c r="AL239" s="5"/>
      <c r="AM239" s="5"/>
      <c r="AN239" s="5"/>
      <c r="AO239" s="6"/>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row>
    <row r="240" spans="2:86" hidden="1" x14ac:dyDescent="0.3">
      <c r="B240" s="27"/>
      <c r="C240" s="32" t="s">
        <v>122</v>
      </c>
      <c r="D240" s="33" t="s">
        <v>104</v>
      </c>
      <c r="E240" s="107">
        <f>Construction_Rate_3</f>
        <v>0</v>
      </c>
      <c r="F240" s="110"/>
      <c r="G240" s="110"/>
      <c r="H240" s="43">
        <f>SUM($G185:G185)*$E240/12</f>
        <v>0</v>
      </c>
      <c r="I240" s="43">
        <f>SUM($G185:H185)*$E240/12</f>
        <v>0</v>
      </c>
      <c r="J240" s="43">
        <f>SUM($G185:I185)*$E240/12</f>
        <v>0</v>
      </c>
      <c r="K240" s="43">
        <f>SUM($G185:J185)*$E240/12</f>
        <v>0</v>
      </c>
      <c r="L240" s="43">
        <f>SUM($G185:K185)*$E240/12</f>
        <v>0</v>
      </c>
      <c r="M240" s="43">
        <f>SUM($G185:L185)*$E240/12</f>
        <v>0</v>
      </c>
      <c r="N240" s="43">
        <f>SUM($G185:M185)*$E240/12</f>
        <v>0</v>
      </c>
      <c r="O240" s="43">
        <f>SUM($G185:N185)*$E240/12</f>
        <v>0</v>
      </c>
      <c r="P240" s="43">
        <f>SUM($G185:O185)*$E240/12</f>
        <v>0</v>
      </c>
      <c r="Q240" s="43">
        <f>SUM($G185:P185)*$E240/12</f>
        <v>0</v>
      </c>
      <c r="R240" s="43">
        <f>SUM($G185:Q185)*$E240/12</f>
        <v>0</v>
      </c>
      <c r="S240" s="43">
        <f>SUM($G185:R185)*$E240/12</f>
        <v>0</v>
      </c>
      <c r="T240" s="43">
        <f>SUM($G185:S185)*$E240/12</f>
        <v>0</v>
      </c>
      <c r="U240" s="43">
        <f>SUM($G185:T185)*$E240/12</f>
        <v>0</v>
      </c>
      <c r="V240" s="43">
        <f>SUM($G185:U185)*$E240/12</f>
        <v>0</v>
      </c>
      <c r="W240" s="43">
        <f>SUM($G185:V185)*$E240/12</f>
        <v>0</v>
      </c>
      <c r="X240" s="43">
        <f>SUM($G185:W185)*$E240/12</f>
        <v>0</v>
      </c>
      <c r="Y240" s="43">
        <f>SUM($G185:X185)*$E240/12</f>
        <v>0</v>
      </c>
      <c r="Z240" s="43">
        <f>SUM($G185:Y185)*$E240/12</f>
        <v>0</v>
      </c>
      <c r="AA240" s="43">
        <f>SUM($G185:Z185)*$E240/12</f>
        <v>0</v>
      </c>
      <c r="AB240" s="43">
        <f>SUM($G185:AA185)*$E240/12</f>
        <v>0</v>
      </c>
      <c r="AC240" s="43">
        <f>SUM($G185:AB185)*$E240/12</f>
        <v>0</v>
      </c>
      <c r="AD240" s="43">
        <f>SUM($G185:AC185)*$E240/12</f>
        <v>0</v>
      </c>
      <c r="AE240" s="43">
        <f>SUM($G185:AD185)*$E240/12</f>
        <v>0</v>
      </c>
      <c r="AF240" s="43">
        <f>SUM($G185:AE185)*$E240/12</f>
        <v>0</v>
      </c>
      <c r="AG240" s="43">
        <f>SUM($G185:AF185)*$E240/12</f>
        <v>0</v>
      </c>
      <c r="AH240" s="43">
        <f>SUM($G185:AG185)*$E240/12</f>
        <v>0</v>
      </c>
      <c r="AI240" s="43">
        <f>SUM($G185:AH185)*$E240/12</f>
        <v>0</v>
      </c>
      <c r="AJ240" s="43">
        <f>SUM($G185:AI185)*$E240/12</f>
        <v>0</v>
      </c>
      <c r="AK240" s="27"/>
      <c r="AL240" s="5"/>
      <c r="AM240" s="5"/>
      <c r="AN240" s="5"/>
      <c r="AO240" s="6"/>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row>
    <row r="241" spans="2:86" hidden="1" x14ac:dyDescent="0.3">
      <c r="B241" s="27"/>
      <c r="C241" s="32" t="s">
        <v>123</v>
      </c>
      <c r="D241" s="33" t="s">
        <v>104</v>
      </c>
      <c r="E241" s="107">
        <f>Construction_Rate_4</f>
        <v>0</v>
      </c>
      <c r="F241" s="110"/>
      <c r="G241" s="110"/>
      <c r="H241" s="43">
        <f>SUM($G186:G186)*$E241/12</f>
        <v>0</v>
      </c>
      <c r="I241" s="43">
        <f>SUM($G186:H186)*$E241/12</f>
        <v>0</v>
      </c>
      <c r="J241" s="43">
        <f>SUM($G186:I186)*$E241/12</f>
        <v>0</v>
      </c>
      <c r="K241" s="43">
        <f>SUM($G186:J186)*$E241/12</f>
        <v>0</v>
      </c>
      <c r="L241" s="43">
        <f>SUM($G186:K186)*$E241/12</f>
        <v>0</v>
      </c>
      <c r="M241" s="43">
        <f>SUM($G186:L186)*$E241/12</f>
        <v>0</v>
      </c>
      <c r="N241" s="43">
        <f>SUM($G186:M186)*$E241/12</f>
        <v>0</v>
      </c>
      <c r="O241" s="43">
        <f>SUM($G186:N186)*$E241/12</f>
        <v>0</v>
      </c>
      <c r="P241" s="43">
        <f>SUM($G186:O186)*$E241/12</f>
        <v>0</v>
      </c>
      <c r="Q241" s="43">
        <f>SUM($G186:P186)*$E241/12</f>
        <v>0</v>
      </c>
      <c r="R241" s="43">
        <f>SUM($G186:Q186)*$E241/12</f>
        <v>0</v>
      </c>
      <c r="S241" s="43">
        <f>SUM($G186:R186)*$E241/12</f>
        <v>0</v>
      </c>
      <c r="T241" s="43">
        <f>SUM($G186:S186)*$E241/12</f>
        <v>0</v>
      </c>
      <c r="U241" s="43">
        <f>SUM($G186:T186)*$E241/12</f>
        <v>0</v>
      </c>
      <c r="V241" s="43">
        <f>SUM($G186:U186)*$E241/12</f>
        <v>0</v>
      </c>
      <c r="W241" s="43">
        <f>SUM($G186:V186)*$E241/12</f>
        <v>0</v>
      </c>
      <c r="X241" s="43">
        <f>SUM($G186:W186)*$E241/12</f>
        <v>0</v>
      </c>
      <c r="Y241" s="43">
        <f>SUM($G186:X186)*$E241/12</f>
        <v>0</v>
      </c>
      <c r="Z241" s="43">
        <f>SUM($G186:Y186)*$E241/12</f>
        <v>0</v>
      </c>
      <c r="AA241" s="43">
        <f>SUM($G186:Z186)*$E241/12</f>
        <v>0</v>
      </c>
      <c r="AB241" s="43">
        <f>SUM($G186:AA186)*$E241/12</f>
        <v>0</v>
      </c>
      <c r="AC241" s="43">
        <f>SUM($G186:AB186)*$E241/12</f>
        <v>0</v>
      </c>
      <c r="AD241" s="43">
        <f>SUM($G186:AC186)*$E241/12</f>
        <v>0</v>
      </c>
      <c r="AE241" s="43">
        <f>SUM($G186:AD186)*$E241/12</f>
        <v>0</v>
      </c>
      <c r="AF241" s="43">
        <f>SUM($G186:AE186)*$E241/12</f>
        <v>0</v>
      </c>
      <c r="AG241" s="43">
        <f>SUM($G186:AF186)*$E241/12</f>
        <v>0</v>
      </c>
      <c r="AH241" s="43">
        <f>SUM($G186:AG186)*$E241/12</f>
        <v>0</v>
      </c>
      <c r="AI241" s="43">
        <f>SUM($G186:AH186)*$E241/12</f>
        <v>0</v>
      </c>
      <c r="AJ241" s="43">
        <f>SUM($G186:AI186)*$E241/12</f>
        <v>0</v>
      </c>
      <c r="AK241" s="27"/>
      <c r="AL241" s="5"/>
      <c r="AM241" s="5"/>
      <c r="AN241" s="5"/>
      <c r="AO241" s="6"/>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row>
    <row r="242" spans="2:86" hidden="1" x14ac:dyDescent="0.3">
      <c r="B242" s="27"/>
      <c r="C242" s="32" t="s">
        <v>124</v>
      </c>
      <c r="D242" s="33" t="s">
        <v>104</v>
      </c>
      <c r="E242" s="107">
        <f>Construction_Rate_5</f>
        <v>0</v>
      </c>
      <c r="F242" s="110"/>
      <c r="G242" s="110"/>
      <c r="H242" s="43">
        <f>SUM($G187:G187)*$E242/12</f>
        <v>0</v>
      </c>
      <c r="I242" s="43">
        <f>SUM($G187:H187)*$E242/12</f>
        <v>0</v>
      </c>
      <c r="J242" s="43">
        <f>SUM($G187:I187)*$E242/12</f>
        <v>0</v>
      </c>
      <c r="K242" s="43">
        <f>SUM($G187:J187)*$E242/12</f>
        <v>0</v>
      </c>
      <c r="L242" s="43">
        <f>SUM($G187:K187)*$E242/12</f>
        <v>0</v>
      </c>
      <c r="M242" s="43">
        <f>SUM($G187:L187)*$E242/12</f>
        <v>0</v>
      </c>
      <c r="N242" s="43">
        <f>SUM($G187:M187)*$E242/12</f>
        <v>0</v>
      </c>
      <c r="O242" s="43">
        <f>SUM($G187:N187)*$E242/12</f>
        <v>0</v>
      </c>
      <c r="P242" s="43">
        <f>SUM($G187:O187)*$E242/12</f>
        <v>0</v>
      </c>
      <c r="Q242" s="43">
        <f>SUM($G187:P187)*$E242/12</f>
        <v>0</v>
      </c>
      <c r="R242" s="43">
        <f>SUM($G187:Q187)*$E242/12</f>
        <v>0</v>
      </c>
      <c r="S242" s="43">
        <f>SUM($G187:R187)*$E242/12</f>
        <v>0</v>
      </c>
      <c r="T242" s="43">
        <f>SUM($G187:S187)*$E242/12</f>
        <v>0</v>
      </c>
      <c r="U242" s="43">
        <f>SUM($G187:T187)*$E242/12</f>
        <v>0</v>
      </c>
      <c r="V242" s="43">
        <f>SUM($G187:U187)*$E242/12</f>
        <v>0</v>
      </c>
      <c r="W242" s="43">
        <f>SUM($G187:V187)*$E242/12</f>
        <v>0</v>
      </c>
      <c r="X242" s="43">
        <f>SUM($G187:W187)*$E242/12</f>
        <v>0</v>
      </c>
      <c r="Y242" s="43">
        <f>SUM($G187:X187)*$E242/12</f>
        <v>0</v>
      </c>
      <c r="Z242" s="43">
        <f>SUM($G187:Y187)*$E242/12</f>
        <v>0</v>
      </c>
      <c r="AA242" s="43">
        <f>SUM($G187:Z187)*$E242/12</f>
        <v>0</v>
      </c>
      <c r="AB242" s="43">
        <f>SUM($G187:AA187)*$E242/12</f>
        <v>0</v>
      </c>
      <c r="AC242" s="43">
        <f>SUM($G187:AB187)*$E242/12</f>
        <v>0</v>
      </c>
      <c r="AD242" s="43">
        <f>SUM($G187:AC187)*$E242/12</f>
        <v>0</v>
      </c>
      <c r="AE242" s="43">
        <f>SUM($G187:AD187)*$E242/12</f>
        <v>0</v>
      </c>
      <c r="AF242" s="43">
        <f>SUM($G187:AE187)*$E242/12</f>
        <v>0</v>
      </c>
      <c r="AG242" s="43">
        <f>SUM($G187:AF187)*$E242/12</f>
        <v>0</v>
      </c>
      <c r="AH242" s="43">
        <f>SUM($G187:AG187)*$E242/12</f>
        <v>0</v>
      </c>
      <c r="AI242" s="43">
        <f>SUM($G187:AH187)*$E242/12</f>
        <v>0</v>
      </c>
      <c r="AJ242" s="43">
        <f>SUM($G187:AI187)*$E242/12</f>
        <v>0</v>
      </c>
      <c r="AK242" s="27"/>
      <c r="AL242" s="5"/>
      <c r="AM242" s="5"/>
      <c r="AN242" s="5"/>
      <c r="AO242" s="6"/>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row>
    <row r="243" spans="2:86" hidden="1" x14ac:dyDescent="0.3">
      <c r="B243" s="27"/>
      <c r="C243" s="32" t="s">
        <v>125</v>
      </c>
      <c r="D243" s="109">
        <v>1</v>
      </c>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27"/>
      <c r="AL243" s="5"/>
      <c r="AM243" s="5"/>
      <c r="AN243" s="5"/>
      <c r="AO243" s="6"/>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row>
    <row r="244" spans="2:86" hidden="1" x14ac:dyDescent="0.3">
      <c r="B244" s="27"/>
      <c r="C244" s="32" t="s">
        <v>126</v>
      </c>
      <c r="D244" s="109">
        <v>1</v>
      </c>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27"/>
      <c r="AL244" s="5"/>
      <c r="AM244" s="5"/>
      <c r="AN244" s="5"/>
      <c r="AO244" s="6"/>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row>
    <row r="245" spans="2:86" hidden="1" x14ac:dyDescent="0.3">
      <c r="B245" s="27"/>
      <c r="C245" s="32" t="s">
        <v>127</v>
      </c>
      <c r="D245" s="109">
        <v>1</v>
      </c>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27"/>
      <c r="AL245" s="5"/>
      <c r="AM245" s="5"/>
      <c r="AN245" s="5"/>
      <c r="AO245" s="6"/>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row>
    <row r="246" spans="2:86" hidden="1" x14ac:dyDescent="0.3">
      <c r="B246" s="27"/>
      <c r="C246" s="32" t="s">
        <v>128</v>
      </c>
      <c r="D246" s="109">
        <v>1</v>
      </c>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27"/>
      <c r="AL246" s="5"/>
      <c r="AM246" s="5"/>
      <c r="AN246" s="5"/>
      <c r="AO246" s="6"/>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row>
    <row r="247" spans="2:86" hidden="1" x14ac:dyDescent="0.3">
      <c r="B247" s="27"/>
      <c r="C247" s="32" t="s">
        <v>129</v>
      </c>
      <c r="D247" s="109">
        <v>1</v>
      </c>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27"/>
      <c r="AL247" s="5"/>
      <c r="AM247" s="5"/>
      <c r="AN247" s="5"/>
      <c r="AO247" s="6"/>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row>
    <row r="248" spans="2:86" hidden="1" x14ac:dyDescent="0.3">
      <c r="B248" s="27"/>
      <c r="C248" s="32" t="s">
        <v>130</v>
      </c>
      <c r="D248" s="109"/>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27"/>
      <c r="AL248" s="5"/>
      <c r="AM248" s="5"/>
      <c r="AN248" s="5"/>
      <c r="AO248" s="6"/>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row>
    <row r="249" spans="2:86" x14ac:dyDescent="0.3">
      <c r="B249" s="27"/>
      <c r="C249" s="111"/>
      <c r="D249" s="111"/>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27"/>
      <c r="AL249" s="5"/>
      <c r="AM249" s="5"/>
      <c r="AN249" s="5"/>
      <c r="AO249" s="6"/>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row>
    <row r="250" spans="2:86" x14ac:dyDescent="0.3">
      <c r="B250" s="27"/>
      <c r="C250" s="124" t="s">
        <v>131</v>
      </c>
      <c r="D250" s="125"/>
      <c r="E250" s="125"/>
      <c r="F250" s="125"/>
      <c r="G250" s="100" t="str">
        <f>+G17</f>
        <v>Draw #1</v>
      </c>
      <c r="H250" s="100" t="str">
        <f t="shared" ref="H250:AJ250" si="78">+H17</f>
        <v>Draw #2</v>
      </c>
      <c r="I250" s="100" t="str">
        <f t="shared" si="78"/>
        <v>Draw #3</v>
      </c>
      <c r="J250" s="100" t="str">
        <f t="shared" si="78"/>
        <v>Draw #4</v>
      </c>
      <c r="K250" s="100" t="str">
        <f t="shared" si="78"/>
        <v>Draw #5</v>
      </c>
      <c r="L250" s="100" t="str">
        <f t="shared" si="78"/>
        <v>Draw #6</v>
      </c>
      <c r="M250" s="100" t="str">
        <f t="shared" si="78"/>
        <v>Draw #7</v>
      </c>
      <c r="N250" s="100" t="str">
        <f t="shared" si="78"/>
        <v>Draw #8</v>
      </c>
      <c r="O250" s="100" t="str">
        <f t="shared" si="78"/>
        <v>Draw #9</v>
      </c>
      <c r="P250" s="100" t="str">
        <f t="shared" si="78"/>
        <v>Draw #10</v>
      </c>
      <c r="Q250" s="100" t="str">
        <f t="shared" si="78"/>
        <v>Draw #11</v>
      </c>
      <c r="R250" s="100" t="str">
        <f t="shared" si="78"/>
        <v>Draw #12</v>
      </c>
      <c r="S250" s="100" t="str">
        <f t="shared" si="78"/>
        <v>Draw #13</v>
      </c>
      <c r="T250" s="100" t="str">
        <f t="shared" si="78"/>
        <v>Draw #14</v>
      </c>
      <c r="U250" s="100" t="str">
        <f t="shared" si="78"/>
        <v>Draw #15</v>
      </c>
      <c r="V250" s="100" t="str">
        <f t="shared" si="78"/>
        <v>Draw #16</v>
      </c>
      <c r="W250" s="100" t="str">
        <f t="shared" si="78"/>
        <v>Draw #17</v>
      </c>
      <c r="X250" s="100" t="str">
        <f t="shared" si="78"/>
        <v>Draw #18</v>
      </c>
      <c r="Y250" s="100" t="str">
        <f t="shared" si="78"/>
        <v>Draw $19</v>
      </c>
      <c r="Z250" s="100" t="str">
        <f t="shared" si="78"/>
        <v>Draw #20</v>
      </c>
      <c r="AA250" s="100" t="str">
        <f t="shared" si="78"/>
        <v>Draw #21</v>
      </c>
      <c r="AB250" s="100" t="str">
        <f t="shared" si="78"/>
        <v>Draw #22</v>
      </c>
      <c r="AC250" s="100" t="str">
        <f t="shared" si="78"/>
        <v>Draw #23</v>
      </c>
      <c r="AD250" s="100" t="str">
        <f t="shared" si="78"/>
        <v>Draw #24</v>
      </c>
      <c r="AE250" s="100" t="str">
        <f t="shared" si="78"/>
        <v>Draw #25</v>
      </c>
      <c r="AF250" s="100" t="str">
        <f t="shared" si="78"/>
        <v>Draw #26</v>
      </c>
      <c r="AG250" s="100" t="str">
        <f t="shared" si="78"/>
        <v>Draw #26</v>
      </c>
      <c r="AH250" s="100" t="str">
        <f t="shared" si="78"/>
        <v>Draw #28</v>
      </c>
      <c r="AI250" s="100" t="str">
        <f t="shared" si="78"/>
        <v>Draw #29</v>
      </c>
      <c r="AJ250" s="100" t="str">
        <f t="shared" si="78"/>
        <v>Draw #30</v>
      </c>
      <c r="AK250" s="27"/>
      <c r="AL250" s="5"/>
      <c r="AM250" s="5"/>
      <c r="AN250" s="5"/>
      <c r="AO250" s="6"/>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row>
    <row r="251" spans="2:86" x14ac:dyDescent="0.3">
      <c r="B251" s="27"/>
      <c r="C251" s="32" t="s">
        <v>132</v>
      </c>
      <c r="D251" s="38"/>
      <c r="E251" s="126">
        <f>SUM(G251:AC251)</f>
        <v>0</v>
      </c>
      <c r="F251" s="38"/>
      <c r="G251" s="127">
        <f>+G176-SUM(G205:G231)</f>
        <v>0</v>
      </c>
      <c r="H251" s="127">
        <f t="shared" ref="H251:AJ251" si="79">+H176-SUM(H205:H231)</f>
        <v>0</v>
      </c>
      <c r="I251" s="127">
        <f t="shared" si="79"/>
        <v>0</v>
      </c>
      <c r="J251" s="127">
        <f t="shared" si="79"/>
        <v>0</v>
      </c>
      <c r="K251" s="127">
        <f t="shared" si="79"/>
        <v>0</v>
      </c>
      <c r="L251" s="127">
        <f t="shared" si="79"/>
        <v>0</v>
      </c>
      <c r="M251" s="127">
        <f t="shared" si="79"/>
        <v>0</v>
      </c>
      <c r="N251" s="127">
        <f t="shared" si="79"/>
        <v>0</v>
      </c>
      <c r="O251" s="127">
        <f t="shared" si="79"/>
        <v>0</v>
      </c>
      <c r="P251" s="127">
        <f t="shared" si="79"/>
        <v>0</v>
      </c>
      <c r="Q251" s="127">
        <f t="shared" si="79"/>
        <v>0</v>
      </c>
      <c r="R251" s="127">
        <f t="shared" si="79"/>
        <v>0</v>
      </c>
      <c r="S251" s="127">
        <f t="shared" si="79"/>
        <v>0</v>
      </c>
      <c r="T251" s="127">
        <f t="shared" si="79"/>
        <v>0</v>
      </c>
      <c r="U251" s="127">
        <f t="shared" si="79"/>
        <v>0</v>
      </c>
      <c r="V251" s="127">
        <f t="shared" si="79"/>
        <v>0</v>
      </c>
      <c r="W251" s="127">
        <f t="shared" si="79"/>
        <v>0</v>
      </c>
      <c r="X251" s="127">
        <f t="shared" si="79"/>
        <v>0</v>
      </c>
      <c r="Y251" s="127">
        <f t="shared" si="79"/>
        <v>0</v>
      </c>
      <c r="Z251" s="127">
        <f t="shared" si="79"/>
        <v>0</v>
      </c>
      <c r="AA251" s="127">
        <f t="shared" si="79"/>
        <v>0</v>
      </c>
      <c r="AB251" s="127">
        <f t="shared" si="79"/>
        <v>0</v>
      </c>
      <c r="AC251" s="127">
        <f t="shared" si="79"/>
        <v>0</v>
      </c>
      <c r="AD251" s="127">
        <f t="shared" si="79"/>
        <v>0</v>
      </c>
      <c r="AE251" s="127">
        <f t="shared" si="79"/>
        <v>0</v>
      </c>
      <c r="AF251" s="127">
        <f t="shared" si="79"/>
        <v>0</v>
      </c>
      <c r="AG251" s="127">
        <f t="shared" si="79"/>
        <v>0</v>
      </c>
      <c r="AH251" s="127">
        <f t="shared" si="79"/>
        <v>0</v>
      </c>
      <c r="AI251" s="127">
        <f t="shared" si="79"/>
        <v>0</v>
      </c>
      <c r="AJ251" s="127">
        <f t="shared" si="79"/>
        <v>0</v>
      </c>
      <c r="AK251" s="27"/>
      <c r="AL251" s="5"/>
      <c r="AM251" s="5"/>
      <c r="AN251" s="5"/>
      <c r="AO251" s="6"/>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row>
    <row r="252" spans="2:86" x14ac:dyDescent="0.3">
      <c r="B252" s="27"/>
      <c r="C252" s="32" t="s">
        <v>133</v>
      </c>
      <c r="D252" s="38"/>
      <c r="E252" s="127">
        <f>SUM(E183:E187)</f>
        <v>0</v>
      </c>
      <c r="F252" s="38"/>
      <c r="G252" s="38"/>
      <c r="H252" s="38"/>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27"/>
      <c r="AL252" s="5"/>
      <c r="AM252" s="5"/>
      <c r="AN252" s="5"/>
      <c r="AO252" s="6"/>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row>
    <row r="253" spans="2:86" x14ac:dyDescent="0.3">
      <c r="B253" s="27"/>
      <c r="C253" s="32" t="s">
        <v>118</v>
      </c>
      <c r="D253" s="38"/>
      <c r="E253" s="127">
        <f>+E251-E252</f>
        <v>0</v>
      </c>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27"/>
      <c r="AL253" s="5"/>
      <c r="AM253" s="5"/>
      <c r="AN253" s="5"/>
      <c r="AO253" s="6"/>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row>
    <row r="254" spans="2:86" x14ac:dyDescent="0.3">
      <c r="B254" s="27"/>
      <c r="C254" s="27"/>
      <c r="D254" s="111"/>
      <c r="E254" s="112"/>
      <c r="F254" s="112"/>
      <c r="G254" s="112"/>
      <c r="H254" s="112"/>
      <c r="I254" s="112"/>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27"/>
      <c r="AL254" s="5"/>
      <c r="AM254" s="5"/>
      <c r="AN254" s="5"/>
      <c r="AO254" s="6"/>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row>
    <row r="255" spans="2:86" x14ac:dyDescent="0.3">
      <c r="B255" s="5"/>
      <c r="C255" s="5"/>
      <c r="D255" s="5"/>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5"/>
      <c r="AL255" s="5"/>
      <c r="AM255" s="5"/>
      <c r="AN255" s="5"/>
      <c r="AO255" s="6"/>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row>
    <row r="256" spans="2:86" ht="18" x14ac:dyDescent="0.35">
      <c r="B256" s="5"/>
      <c r="C256" s="129" t="s">
        <v>134</v>
      </c>
      <c r="D256" s="130"/>
      <c r="E256" s="4"/>
      <c r="F256" s="131"/>
      <c r="G256" s="131"/>
      <c r="H256" s="131"/>
      <c r="I256" s="4"/>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6"/>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row>
    <row r="257" spans="2:86" x14ac:dyDescent="0.3">
      <c r="B257" s="27"/>
      <c r="C257" s="111"/>
      <c r="D257" s="132" t="s">
        <v>135</v>
      </c>
      <c r="E257" s="111"/>
      <c r="F257" s="111"/>
      <c r="G257" s="111"/>
      <c r="H257" s="111"/>
      <c r="I257" s="111"/>
      <c r="J257" s="27"/>
      <c r="K257" s="27"/>
      <c r="L257" s="27"/>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6"/>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row>
    <row r="258" spans="2:86" x14ac:dyDescent="0.3">
      <c r="B258" s="27"/>
      <c r="C258" s="111"/>
      <c r="D258" s="159"/>
      <c r="E258" s="160"/>
      <c r="F258" s="160"/>
      <c r="G258" s="160"/>
      <c r="H258" s="160"/>
      <c r="I258" s="160"/>
      <c r="J258" s="160"/>
      <c r="K258" s="161"/>
      <c r="L258" s="27"/>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6"/>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row>
    <row r="259" spans="2:86" x14ac:dyDescent="0.3">
      <c r="B259" s="27"/>
      <c r="C259" s="111"/>
      <c r="D259" s="162"/>
      <c r="E259" s="163"/>
      <c r="F259" s="163"/>
      <c r="G259" s="163"/>
      <c r="H259" s="163"/>
      <c r="I259" s="163"/>
      <c r="J259" s="163"/>
      <c r="K259" s="164"/>
      <c r="L259" s="27"/>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6"/>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row>
    <row r="260" spans="2:86" x14ac:dyDescent="0.3">
      <c r="B260" s="27"/>
      <c r="C260" s="111"/>
      <c r="D260" s="162"/>
      <c r="E260" s="163"/>
      <c r="F260" s="163"/>
      <c r="G260" s="163"/>
      <c r="H260" s="163"/>
      <c r="I260" s="163"/>
      <c r="J260" s="163"/>
      <c r="K260" s="164"/>
      <c r="L260" s="27"/>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6"/>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row>
    <row r="261" spans="2:86" x14ac:dyDescent="0.3">
      <c r="B261" s="27"/>
      <c r="C261" s="111"/>
      <c r="D261" s="162"/>
      <c r="E261" s="163"/>
      <c r="F261" s="163"/>
      <c r="G261" s="163"/>
      <c r="H261" s="163"/>
      <c r="I261" s="163"/>
      <c r="J261" s="163"/>
      <c r="K261" s="164"/>
      <c r="L261" s="27"/>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6"/>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row>
    <row r="262" spans="2:86" x14ac:dyDescent="0.3">
      <c r="B262" s="27"/>
      <c r="C262" s="111"/>
      <c r="D262" s="162"/>
      <c r="E262" s="163"/>
      <c r="F262" s="163"/>
      <c r="G262" s="163"/>
      <c r="H262" s="163"/>
      <c r="I262" s="163"/>
      <c r="J262" s="163"/>
      <c r="K262" s="164"/>
      <c r="L262" s="27"/>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6"/>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row>
    <row r="263" spans="2:86" x14ac:dyDescent="0.3">
      <c r="B263" s="27"/>
      <c r="C263" s="111"/>
      <c r="D263" s="162"/>
      <c r="E263" s="163"/>
      <c r="F263" s="163"/>
      <c r="G263" s="163"/>
      <c r="H263" s="163"/>
      <c r="I263" s="163"/>
      <c r="J263" s="163"/>
      <c r="K263" s="164"/>
      <c r="L263" s="27"/>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6"/>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row>
    <row r="264" spans="2:86" x14ac:dyDescent="0.3">
      <c r="B264" s="27"/>
      <c r="C264" s="111"/>
      <c r="D264" s="162"/>
      <c r="E264" s="163"/>
      <c r="F264" s="163"/>
      <c r="G264" s="163"/>
      <c r="H264" s="163"/>
      <c r="I264" s="163"/>
      <c r="J264" s="163"/>
      <c r="K264" s="164"/>
      <c r="L264" s="27"/>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6"/>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row>
    <row r="265" spans="2:86" x14ac:dyDescent="0.3">
      <c r="B265" s="27"/>
      <c r="C265" s="111"/>
      <c r="D265" s="165"/>
      <c r="E265" s="166"/>
      <c r="F265" s="166"/>
      <c r="G265" s="166"/>
      <c r="H265" s="166"/>
      <c r="I265" s="166"/>
      <c r="J265" s="166"/>
      <c r="K265" s="167"/>
      <c r="L265" s="27"/>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6"/>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row>
    <row r="266" spans="2:86" x14ac:dyDescent="0.3">
      <c r="B266" s="27"/>
      <c r="C266" s="111"/>
      <c r="D266" s="111"/>
      <c r="E266" s="111"/>
      <c r="F266" s="111"/>
      <c r="G266" s="111"/>
      <c r="H266" s="111"/>
      <c r="I266" s="111"/>
      <c r="J266" s="27"/>
      <c r="K266" s="27"/>
      <c r="L266" s="27"/>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6"/>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row>
    <row r="267" spans="2:86" ht="15.6" x14ac:dyDescent="0.3">
      <c r="B267" s="5"/>
      <c r="C267" s="4"/>
      <c r="D267" s="4"/>
      <c r="E267" s="4"/>
      <c r="F267" s="133"/>
      <c r="G267" s="4"/>
      <c r="H267" s="4"/>
      <c r="I267" s="4"/>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6"/>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row>
    <row r="268" spans="2:86" x14ac:dyDescent="0.3">
      <c r="B268" s="16"/>
      <c r="C268" s="134" t="s">
        <v>136</v>
      </c>
      <c r="D268" s="15"/>
      <c r="E268" s="15"/>
      <c r="F268" s="15"/>
      <c r="G268" s="15"/>
      <c r="H268" s="15"/>
      <c r="I268" s="15"/>
      <c r="J268" s="16"/>
      <c r="K268" s="16"/>
      <c r="L268" s="16"/>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6"/>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row>
    <row r="269" spans="2:86" ht="18" x14ac:dyDescent="0.35">
      <c r="B269" s="5"/>
      <c r="C269" s="129" t="s">
        <v>137</v>
      </c>
      <c r="D269" s="4"/>
      <c r="E269" s="4"/>
      <c r="F269" s="131"/>
      <c r="G269" s="131"/>
      <c r="H269" s="131"/>
      <c r="I269" s="4"/>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6"/>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row>
    <row r="270" spans="2:86" x14ac:dyDescent="0.3">
      <c r="B270" s="27"/>
      <c r="C270" s="111"/>
      <c r="D270" s="132"/>
      <c r="E270" s="111"/>
      <c r="F270" s="111"/>
      <c r="G270" s="111"/>
      <c r="H270" s="111"/>
      <c r="I270" s="111"/>
      <c r="J270" s="27"/>
      <c r="K270" s="27"/>
      <c r="L270" s="27"/>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6"/>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row>
    <row r="271" spans="2:86" x14ac:dyDescent="0.3">
      <c r="B271" s="27"/>
      <c r="C271" s="111"/>
      <c r="D271" s="168"/>
      <c r="E271" s="168"/>
      <c r="F271" s="168"/>
      <c r="G271" s="168"/>
      <c r="H271" s="168"/>
      <c r="I271" s="111"/>
      <c r="J271" s="27"/>
      <c r="K271" s="27"/>
      <c r="L271" s="27"/>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6"/>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row>
    <row r="272" spans="2:86" x14ac:dyDescent="0.3">
      <c r="B272" s="27"/>
      <c r="C272" s="111"/>
      <c r="D272" s="168"/>
      <c r="E272" s="168"/>
      <c r="F272" s="168"/>
      <c r="G272" s="168"/>
      <c r="H272" s="168"/>
      <c r="I272" s="111"/>
      <c r="J272" s="27"/>
      <c r="K272" s="27"/>
      <c r="L272" s="27"/>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6"/>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row>
    <row r="273" spans="2:86" x14ac:dyDescent="0.3">
      <c r="B273" s="27"/>
      <c r="C273" s="111"/>
      <c r="D273" s="168"/>
      <c r="E273" s="168"/>
      <c r="F273" s="168"/>
      <c r="G273" s="168"/>
      <c r="H273" s="168"/>
      <c r="I273" s="111"/>
      <c r="J273" s="27"/>
      <c r="K273" s="27"/>
      <c r="L273" s="27"/>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6"/>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row>
    <row r="274" spans="2:86" x14ac:dyDescent="0.3">
      <c r="B274" s="27"/>
      <c r="C274" s="111"/>
      <c r="D274" s="168"/>
      <c r="E274" s="168"/>
      <c r="F274" s="168"/>
      <c r="G274" s="168"/>
      <c r="H274" s="168"/>
      <c r="I274" s="111"/>
      <c r="J274" s="27"/>
      <c r="K274" s="27"/>
      <c r="L274" s="27"/>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6"/>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row>
    <row r="275" spans="2:86" x14ac:dyDescent="0.3">
      <c r="B275" s="27"/>
      <c r="C275" s="111"/>
      <c r="D275" s="111"/>
      <c r="E275" s="111"/>
      <c r="F275" s="111"/>
      <c r="G275" s="111"/>
      <c r="H275" s="111"/>
      <c r="I275" s="111"/>
      <c r="J275" s="27"/>
      <c r="K275" s="27"/>
      <c r="L275" s="27"/>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6"/>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row>
    <row r="276" spans="2:86" x14ac:dyDescent="0.3">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6"/>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row>
    <row r="277" spans="2:86" x14ac:dyDescent="0.3">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6"/>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row>
    <row r="278" spans="2:86" x14ac:dyDescent="0.3">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6"/>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row>
    <row r="279" spans="2:86" x14ac:dyDescent="0.3">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6"/>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row>
    <row r="280" spans="2:86" x14ac:dyDescent="0.3">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6"/>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row>
    <row r="281" spans="2:86" x14ac:dyDescent="0.3">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6"/>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row>
    <row r="282" spans="2:86" x14ac:dyDescent="0.3">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6"/>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row>
    <row r="283" spans="2:86" x14ac:dyDescent="0.3">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6"/>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row>
    <row r="284" spans="2:86" x14ac:dyDescent="0.3">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6"/>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row>
    <row r="285" spans="2:86" x14ac:dyDescent="0.3">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6"/>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row>
    <row r="286" spans="2:86" x14ac:dyDescent="0.3">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6"/>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row>
    <row r="287" spans="2:86" x14ac:dyDescent="0.3">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6"/>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row>
    <row r="288" spans="2:86" x14ac:dyDescent="0.3">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6"/>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row>
    <row r="289" spans="2:86" x14ac:dyDescent="0.3">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6"/>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row>
    <row r="290" spans="2:86" x14ac:dyDescent="0.3">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6"/>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row>
    <row r="291" spans="2:86" x14ac:dyDescent="0.3">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6"/>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row>
    <row r="292" spans="2:86" x14ac:dyDescent="0.3">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6"/>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row>
    <row r="293" spans="2:86" x14ac:dyDescent="0.3">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6"/>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row>
    <row r="294" spans="2:86" x14ac:dyDescent="0.3">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6"/>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row>
    <row r="295" spans="2:86" x14ac:dyDescent="0.3">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6"/>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row>
    <row r="296" spans="2:86" x14ac:dyDescent="0.3">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6"/>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row>
    <row r="297" spans="2:86" x14ac:dyDescent="0.3">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6"/>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row>
    <row r="298" spans="2:86" x14ac:dyDescent="0.3">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6"/>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row>
    <row r="299" spans="2:86" x14ac:dyDescent="0.3">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6"/>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row>
    <row r="300" spans="2:86" x14ac:dyDescent="0.3">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6"/>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row>
    <row r="301" spans="2:86" x14ac:dyDescent="0.3">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6"/>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row>
    <row r="302" spans="2:86" x14ac:dyDescent="0.3">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6"/>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row>
    <row r="303" spans="2:86" x14ac:dyDescent="0.3">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6"/>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row>
    <row r="304" spans="2:86" x14ac:dyDescent="0.3">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6"/>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row>
    <row r="305" spans="2:86" x14ac:dyDescent="0.3">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6"/>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row>
    <row r="306" spans="2:86" x14ac:dyDescent="0.3">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6"/>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row>
    <row r="307" spans="2:86" x14ac:dyDescent="0.3">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6"/>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row>
    <row r="308" spans="2:86" x14ac:dyDescent="0.3">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6"/>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row>
    <row r="309" spans="2:86" x14ac:dyDescent="0.3">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6"/>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row>
    <row r="310" spans="2:86" x14ac:dyDescent="0.3">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6"/>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row>
    <row r="311" spans="2:86" x14ac:dyDescent="0.3">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6"/>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row>
    <row r="312" spans="2:86" x14ac:dyDescent="0.3">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6"/>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row>
    <row r="313" spans="2:86" x14ac:dyDescent="0.3">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6"/>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row>
    <row r="314" spans="2:86" x14ac:dyDescent="0.3">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6"/>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row>
    <row r="315" spans="2:86" x14ac:dyDescent="0.3">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6"/>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row>
    <row r="316" spans="2:86" x14ac:dyDescent="0.3">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6"/>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row>
    <row r="317" spans="2:86" x14ac:dyDescent="0.3">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6"/>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row>
    <row r="318" spans="2:86" x14ac:dyDescent="0.3">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6"/>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row>
    <row r="319" spans="2:86" x14ac:dyDescent="0.3">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6"/>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row>
    <row r="320" spans="2:86" x14ac:dyDescent="0.3">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6"/>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row>
    <row r="321" spans="2:86" x14ac:dyDescent="0.3">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6"/>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row>
    <row r="322" spans="2:86" x14ac:dyDescent="0.3">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6"/>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row>
    <row r="323" spans="2:86" x14ac:dyDescent="0.3">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6"/>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row>
    <row r="324" spans="2:86" x14ac:dyDescent="0.3">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6"/>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row>
    <row r="325" spans="2:86" x14ac:dyDescent="0.3">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6"/>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row>
    <row r="326" spans="2:86" x14ac:dyDescent="0.3">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6"/>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row>
    <row r="327" spans="2:86" x14ac:dyDescent="0.3">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6"/>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row>
    <row r="328" spans="2:86" x14ac:dyDescent="0.3">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6"/>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row>
    <row r="329" spans="2:86" x14ac:dyDescent="0.3">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6"/>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row>
    <row r="330" spans="2:86" x14ac:dyDescent="0.3">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6"/>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row>
    <row r="331" spans="2:86" x14ac:dyDescent="0.3">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6"/>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row>
    <row r="332" spans="2:86" x14ac:dyDescent="0.3">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6"/>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row>
    <row r="333" spans="2:86" x14ac:dyDescent="0.3">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6"/>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row>
    <row r="334" spans="2:86" x14ac:dyDescent="0.3">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6"/>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row>
    <row r="335" spans="2:86" x14ac:dyDescent="0.3">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6"/>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row>
    <row r="336" spans="2:86" x14ac:dyDescent="0.3">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6"/>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row>
    <row r="337" spans="2:86" x14ac:dyDescent="0.3">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6"/>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row>
    <row r="338" spans="2:86" x14ac:dyDescent="0.3">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6"/>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row>
    <row r="339" spans="2:86" x14ac:dyDescent="0.3">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6"/>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row>
    <row r="340" spans="2:86" x14ac:dyDescent="0.3">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6"/>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row>
    <row r="341" spans="2:86" x14ac:dyDescent="0.3">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6"/>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row>
    <row r="342" spans="2:86" x14ac:dyDescent="0.3">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6"/>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row>
    <row r="343" spans="2:86" x14ac:dyDescent="0.3">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6"/>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row>
    <row r="344" spans="2:86" x14ac:dyDescent="0.3">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6"/>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row>
    <row r="345" spans="2:86" x14ac:dyDescent="0.3">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6"/>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row>
    <row r="346" spans="2:86" x14ac:dyDescent="0.3">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6"/>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row>
    <row r="347" spans="2:86" x14ac:dyDescent="0.3">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6"/>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row>
    <row r="348" spans="2:86" x14ac:dyDescent="0.3">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6"/>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row>
    <row r="349" spans="2:86" x14ac:dyDescent="0.3">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6"/>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row>
    <row r="350" spans="2:86" x14ac:dyDescent="0.3">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6"/>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row>
    <row r="351" spans="2:86" x14ac:dyDescent="0.3">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6"/>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row>
    <row r="352" spans="2:86" x14ac:dyDescent="0.3">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6"/>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row>
    <row r="353" spans="2:86" x14ac:dyDescent="0.3">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6"/>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row>
    <row r="354" spans="2:86" x14ac:dyDescent="0.3">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6"/>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row>
    <row r="355" spans="2:86" x14ac:dyDescent="0.3">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6"/>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row>
    <row r="356" spans="2:86" x14ac:dyDescent="0.3">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6"/>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row>
    <row r="357" spans="2:86" x14ac:dyDescent="0.3">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6"/>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row>
    <row r="358" spans="2:86" x14ac:dyDescent="0.3">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6"/>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row>
    <row r="359" spans="2:86" x14ac:dyDescent="0.3">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6"/>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row>
    <row r="360" spans="2:86" x14ac:dyDescent="0.3">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6"/>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row>
    <row r="361" spans="2:86" x14ac:dyDescent="0.3">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6"/>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row>
    <row r="362" spans="2:86" x14ac:dyDescent="0.3">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6"/>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row>
    <row r="363" spans="2:86" x14ac:dyDescent="0.3">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6"/>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row>
    <row r="364" spans="2:86" x14ac:dyDescent="0.3">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6"/>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row>
    <row r="365" spans="2:86" x14ac:dyDescent="0.3">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6"/>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row>
    <row r="366" spans="2:86" x14ac:dyDescent="0.3">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6"/>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row>
    <row r="367" spans="2:86" x14ac:dyDescent="0.3">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6"/>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row>
    <row r="368" spans="2:86" x14ac:dyDescent="0.3">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6"/>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row>
    <row r="369" spans="2:86" x14ac:dyDescent="0.3">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6"/>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row>
    <row r="370" spans="2:86" x14ac:dyDescent="0.3">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6"/>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row>
    <row r="371" spans="2:86" x14ac:dyDescent="0.3">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6"/>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row>
    <row r="372" spans="2:86" x14ac:dyDescent="0.3">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6"/>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row>
    <row r="373" spans="2:86" x14ac:dyDescent="0.3">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6"/>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row>
    <row r="374" spans="2:86" x14ac:dyDescent="0.3">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6"/>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row>
    <row r="375" spans="2:86" x14ac:dyDescent="0.3">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6"/>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row>
    <row r="376" spans="2:86" x14ac:dyDescent="0.3">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6"/>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row>
    <row r="377" spans="2:86" x14ac:dyDescent="0.3">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6"/>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row>
    <row r="378" spans="2:86" x14ac:dyDescent="0.3">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6"/>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row>
    <row r="379" spans="2:86" x14ac:dyDescent="0.3">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6"/>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row>
    <row r="380" spans="2:86" x14ac:dyDescent="0.3">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6"/>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row>
    <row r="381" spans="2:86" x14ac:dyDescent="0.3">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6"/>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row>
    <row r="382" spans="2:86" x14ac:dyDescent="0.3">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6"/>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row>
    <row r="383" spans="2:86" x14ac:dyDescent="0.3">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6"/>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row>
    <row r="384" spans="2:86" x14ac:dyDescent="0.3">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6"/>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row>
    <row r="385" spans="2:86" x14ac:dyDescent="0.3">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6"/>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row>
    <row r="386" spans="2:86" x14ac:dyDescent="0.3">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6"/>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row>
    <row r="387" spans="2:86" x14ac:dyDescent="0.3">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6"/>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row>
    <row r="388" spans="2:86" x14ac:dyDescent="0.3">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6"/>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row>
    <row r="389" spans="2:86" x14ac:dyDescent="0.3">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6"/>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row>
    <row r="390" spans="2:86" x14ac:dyDescent="0.3">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6"/>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row>
    <row r="391" spans="2:86" x14ac:dyDescent="0.3">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6"/>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row>
    <row r="392" spans="2:86" x14ac:dyDescent="0.3">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6"/>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row>
    <row r="393" spans="2:86" x14ac:dyDescent="0.3">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6"/>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row>
    <row r="394" spans="2:86" x14ac:dyDescent="0.3">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6"/>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row>
    <row r="395" spans="2:86" x14ac:dyDescent="0.3">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6"/>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row>
    <row r="396" spans="2:86" x14ac:dyDescent="0.3">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6"/>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row>
    <row r="397" spans="2:86" x14ac:dyDescent="0.3">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6"/>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row>
    <row r="398" spans="2:86" x14ac:dyDescent="0.3">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6"/>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row>
    <row r="399" spans="2:86" x14ac:dyDescent="0.3">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6"/>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row>
    <row r="400" spans="2:86" x14ac:dyDescent="0.3">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6"/>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row>
    <row r="401" spans="2:86" x14ac:dyDescent="0.3">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6"/>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row>
    <row r="402" spans="2:86" x14ac:dyDescent="0.3">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6"/>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row>
    <row r="403" spans="2:86" x14ac:dyDescent="0.3">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6"/>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row>
    <row r="404" spans="2:86" x14ac:dyDescent="0.3">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6"/>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row>
    <row r="405" spans="2:86" x14ac:dyDescent="0.3">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6"/>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row>
    <row r="406" spans="2:86" x14ac:dyDescent="0.3">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6"/>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row>
    <row r="407" spans="2:86" x14ac:dyDescent="0.3">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6"/>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row>
    <row r="408" spans="2:86" x14ac:dyDescent="0.3">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6"/>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row>
    <row r="409" spans="2:86" x14ac:dyDescent="0.3">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6"/>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row>
    <row r="410" spans="2:86" x14ac:dyDescent="0.3">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6"/>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row>
    <row r="411" spans="2:86" x14ac:dyDescent="0.3">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6"/>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row>
    <row r="412" spans="2:86" x14ac:dyDescent="0.3">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6"/>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row>
    <row r="413" spans="2:86" x14ac:dyDescent="0.3">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6"/>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row>
    <row r="414" spans="2:86" x14ac:dyDescent="0.3">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6"/>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row>
    <row r="415" spans="2:86" x14ac:dyDescent="0.3">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6"/>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row>
    <row r="416" spans="2:86" x14ac:dyDescent="0.3">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6"/>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row>
    <row r="417" spans="2:86" x14ac:dyDescent="0.3">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6"/>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row>
    <row r="418" spans="2:86" x14ac:dyDescent="0.3">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6"/>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row>
    <row r="419" spans="2:86" x14ac:dyDescent="0.3">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6"/>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row>
    <row r="420" spans="2:86" x14ac:dyDescent="0.3">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6"/>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row>
    <row r="421" spans="2:86" x14ac:dyDescent="0.3">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6"/>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row>
    <row r="422" spans="2:86" x14ac:dyDescent="0.3">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6"/>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row>
    <row r="423" spans="2:86" x14ac:dyDescent="0.3">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6"/>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row>
    <row r="424" spans="2:86" x14ac:dyDescent="0.3">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6"/>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row>
    <row r="425" spans="2:86" x14ac:dyDescent="0.3">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6"/>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row>
    <row r="426" spans="2:86" x14ac:dyDescent="0.3">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6"/>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row>
    <row r="427" spans="2:86" x14ac:dyDescent="0.3">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6"/>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row>
    <row r="428" spans="2:86" x14ac:dyDescent="0.3">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6"/>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row>
    <row r="429" spans="2:86" x14ac:dyDescent="0.3">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6"/>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row>
    <row r="430" spans="2:86" x14ac:dyDescent="0.3">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6"/>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row>
    <row r="431" spans="2:86" x14ac:dyDescent="0.3">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6"/>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row>
    <row r="432" spans="2:86" x14ac:dyDescent="0.3">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6"/>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row>
    <row r="433" spans="2:86" x14ac:dyDescent="0.3">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6"/>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row>
    <row r="434" spans="2:86" x14ac:dyDescent="0.3">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6"/>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row>
    <row r="435" spans="2:86" x14ac:dyDescent="0.3">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6"/>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row>
    <row r="436" spans="2:86" x14ac:dyDescent="0.3">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6"/>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row>
    <row r="437" spans="2:86" x14ac:dyDescent="0.3">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6"/>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row>
    <row r="438" spans="2:86" x14ac:dyDescent="0.3">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6"/>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row>
    <row r="439" spans="2:86" x14ac:dyDescent="0.3">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6"/>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row>
    <row r="440" spans="2:86" x14ac:dyDescent="0.3">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6"/>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row>
    <row r="441" spans="2:86" x14ac:dyDescent="0.3">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6"/>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row>
    <row r="442" spans="2:86" x14ac:dyDescent="0.3">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6"/>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row>
    <row r="443" spans="2:86" x14ac:dyDescent="0.3">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6"/>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row>
    <row r="444" spans="2:86" x14ac:dyDescent="0.3">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6"/>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row>
    <row r="445" spans="2:86" x14ac:dyDescent="0.3">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6"/>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row>
    <row r="446" spans="2:86" x14ac:dyDescent="0.3">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6"/>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row>
    <row r="447" spans="2:86" x14ac:dyDescent="0.3">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6"/>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row>
    <row r="448" spans="2:86" x14ac:dyDescent="0.3">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6"/>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row>
    <row r="449" spans="2:86" x14ac:dyDescent="0.3">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6"/>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row>
    <row r="450" spans="2:86" x14ac:dyDescent="0.3">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6"/>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row>
    <row r="451" spans="2:86" x14ac:dyDescent="0.3">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6"/>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row>
    <row r="452" spans="2:86" x14ac:dyDescent="0.3">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6"/>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row>
    <row r="453" spans="2:86" x14ac:dyDescent="0.3">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6"/>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row>
    <row r="454" spans="2:86" x14ac:dyDescent="0.3">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6"/>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row>
    <row r="455" spans="2:86" x14ac:dyDescent="0.3">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6"/>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row>
    <row r="456" spans="2:86" x14ac:dyDescent="0.3">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6"/>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row>
    <row r="457" spans="2:86" x14ac:dyDescent="0.3">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6"/>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row>
    <row r="458" spans="2:86" x14ac:dyDescent="0.3">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6"/>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row>
    <row r="459" spans="2:86" x14ac:dyDescent="0.3">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6"/>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row>
    <row r="460" spans="2:86" x14ac:dyDescent="0.3">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6"/>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row>
    <row r="461" spans="2:86" x14ac:dyDescent="0.3">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6"/>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row>
    <row r="462" spans="2:86" x14ac:dyDescent="0.3">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6"/>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row>
    <row r="463" spans="2:86" x14ac:dyDescent="0.3">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6"/>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row>
    <row r="464" spans="2:86" x14ac:dyDescent="0.3">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6"/>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row>
    <row r="465" spans="2:86" x14ac:dyDescent="0.3">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6"/>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row>
    <row r="466" spans="2:86" x14ac:dyDescent="0.3">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6"/>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row>
    <row r="467" spans="2:86" x14ac:dyDescent="0.3">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6"/>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row>
    <row r="468" spans="2:86" x14ac:dyDescent="0.3">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6"/>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row>
    <row r="469" spans="2:86" x14ac:dyDescent="0.3">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6"/>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row>
    <row r="470" spans="2:86" x14ac:dyDescent="0.3">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6"/>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row>
    <row r="471" spans="2:86" x14ac:dyDescent="0.3">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6"/>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row>
    <row r="472" spans="2:86" x14ac:dyDescent="0.3">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6"/>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row>
    <row r="473" spans="2:86" x14ac:dyDescent="0.3">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6"/>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row>
    <row r="474" spans="2:86" x14ac:dyDescent="0.3">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6"/>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row>
    <row r="475" spans="2:86" x14ac:dyDescent="0.3">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6"/>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row>
    <row r="476" spans="2:86" x14ac:dyDescent="0.3">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6"/>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row>
    <row r="477" spans="2:86" x14ac:dyDescent="0.3">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6"/>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row>
    <row r="478" spans="2:86" x14ac:dyDescent="0.3">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6"/>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row>
    <row r="479" spans="2:86" x14ac:dyDescent="0.3">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6"/>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row>
    <row r="480" spans="2:86" x14ac:dyDescent="0.3">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6"/>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row>
    <row r="481" spans="2:86" x14ac:dyDescent="0.3">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6"/>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row>
    <row r="482" spans="2:86" x14ac:dyDescent="0.3">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6"/>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row>
    <row r="483" spans="2:86" x14ac:dyDescent="0.3">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6"/>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row>
    <row r="484" spans="2:86" x14ac:dyDescent="0.3">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6"/>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row>
    <row r="485" spans="2:86" x14ac:dyDescent="0.3">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6"/>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row>
    <row r="486" spans="2:86" x14ac:dyDescent="0.3">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6"/>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row>
    <row r="487" spans="2:86" x14ac:dyDescent="0.3">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6"/>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row>
    <row r="488" spans="2:86" x14ac:dyDescent="0.3">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6"/>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row>
    <row r="489" spans="2:86" x14ac:dyDescent="0.3">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6"/>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row>
    <row r="490" spans="2:86" x14ac:dyDescent="0.3">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6"/>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row>
    <row r="491" spans="2:86" x14ac:dyDescent="0.3">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6"/>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row>
    <row r="492" spans="2:86" x14ac:dyDescent="0.3">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6"/>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row>
    <row r="493" spans="2:86" x14ac:dyDescent="0.3">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6"/>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row>
    <row r="494" spans="2:86" x14ac:dyDescent="0.3">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6"/>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row>
    <row r="495" spans="2:86" x14ac:dyDescent="0.3">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6"/>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row>
    <row r="496" spans="2:86" x14ac:dyDescent="0.3">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6"/>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row>
    <row r="497" spans="2:86" x14ac:dyDescent="0.3">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6"/>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row>
    <row r="498" spans="2:86" x14ac:dyDescent="0.3">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6"/>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row>
    <row r="499" spans="2:86" x14ac:dyDescent="0.3">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6"/>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row>
    <row r="500" spans="2:86" x14ac:dyDescent="0.3">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6"/>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row>
    <row r="501" spans="2:86" x14ac:dyDescent="0.3">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6"/>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row>
    <row r="502" spans="2:86" x14ac:dyDescent="0.3">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6"/>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row>
    <row r="503" spans="2:86" x14ac:dyDescent="0.3">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6"/>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row>
    <row r="504" spans="2:86" x14ac:dyDescent="0.3">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6"/>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row>
    <row r="505" spans="2:86" x14ac:dyDescent="0.3">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6"/>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row>
    <row r="506" spans="2:86" x14ac:dyDescent="0.3">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6"/>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row>
    <row r="507" spans="2:86" x14ac:dyDescent="0.3">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6"/>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row>
    <row r="508" spans="2:86" x14ac:dyDescent="0.3">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6"/>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row>
    <row r="509" spans="2:86" x14ac:dyDescent="0.3">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6"/>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row>
    <row r="510" spans="2:86" x14ac:dyDescent="0.3">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6"/>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row>
    <row r="511" spans="2:86" x14ac:dyDescent="0.3">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6"/>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row>
    <row r="512" spans="2:86" x14ac:dyDescent="0.3">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6"/>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row>
    <row r="513" spans="2:86" x14ac:dyDescent="0.3">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6"/>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row>
    <row r="514" spans="2:86" x14ac:dyDescent="0.3">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6"/>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row>
    <row r="515" spans="2:86" x14ac:dyDescent="0.3">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6"/>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row>
    <row r="516" spans="2:86" x14ac:dyDescent="0.3">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6"/>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row>
    <row r="517" spans="2:86" x14ac:dyDescent="0.3">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6"/>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row>
    <row r="518" spans="2:86" x14ac:dyDescent="0.3">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6"/>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row>
    <row r="519" spans="2:86" x14ac:dyDescent="0.3">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6"/>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row>
    <row r="520" spans="2:86" x14ac:dyDescent="0.3">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6"/>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row>
    <row r="521" spans="2:86" x14ac:dyDescent="0.3">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6"/>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row>
    <row r="522" spans="2:86" x14ac:dyDescent="0.3">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6"/>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row>
    <row r="523" spans="2:86" x14ac:dyDescent="0.3">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6"/>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row>
    <row r="524" spans="2:86" x14ac:dyDescent="0.3">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6"/>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row>
    <row r="525" spans="2:86" x14ac:dyDescent="0.3">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6"/>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row>
    <row r="526" spans="2:86" x14ac:dyDescent="0.3">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6"/>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row>
    <row r="527" spans="2:86" x14ac:dyDescent="0.3">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6"/>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row>
    <row r="528" spans="2:86" x14ac:dyDescent="0.3">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6"/>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row>
    <row r="529" spans="2:86" x14ac:dyDescent="0.3">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6"/>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row>
    <row r="530" spans="2:86" x14ac:dyDescent="0.3">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6"/>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row>
    <row r="531" spans="2:86" x14ac:dyDescent="0.3">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6"/>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row>
    <row r="532" spans="2:86" x14ac:dyDescent="0.3">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6"/>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row>
    <row r="533" spans="2:86" x14ac:dyDescent="0.3">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6"/>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row>
    <row r="534" spans="2:86" x14ac:dyDescent="0.3">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6"/>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row>
    <row r="535" spans="2:86" x14ac:dyDescent="0.3">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6"/>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row>
    <row r="536" spans="2:86" x14ac:dyDescent="0.3">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6"/>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row>
    <row r="537" spans="2:86" x14ac:dyDescent="0.3">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6"/>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row>
    <row r="538" spans="2:86" x14ac:dyDescent="0.3">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6"/>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row>
    <row r="539" spans="2:86" x14ac:dyDescent="0.3">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6"/>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row>
    <row r="540" spans="2:86" x14ac:dyDescent="0.3">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6"/>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row>
    <row r="541" spans="2:86" x14ac:dyDescent="0.3">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6"/>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row>
    <row r="542" spans="2:86" x14ac:dyDescent="0.3">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6"/>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row>
    <row r="543" spans="2:86" x14ac:dyDescent="0.3">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6"/>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row>
    <row r="544" spans="2:86" x14ac:dyDescent="0.3">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6"/>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row>
    <row r="545" spans="2:86" x14ac:dyDescent="0.3">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6"/>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row>
    <row r="546" spans="2:86" x14ac:dyDescent="0.3">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6"/>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row>
    <row r="547" spans="2:86" x14ac:dyDescent="0.3">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6"/>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row>
    <row r="548" spans="2:86" x14ac:dyDescent="0.3">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6"/>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row>
    <row r="549" spans="2:86" x14ac:dyDescent="0.3">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6"/>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row>
    <row r="550" spans="2:86" x14ac:dyDescent="0.3">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6"/>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row>
    <row r="551" spans="2:86" x14ac:dyDescent="0.3">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6"/>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row>
    <row r="552" spans="2:86" x14ac:dyDescent="0.3">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6"/>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row>
    <row r="553" spans="2:86" x14ac:dyDescent="0.3">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6"/>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row>
    <row r="554" spans="2:86" x14ac:dyDescent="0.3">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6"/>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row>
    <row r="555" spans="2:86" x14ac:dyDescent="0.3">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6"/>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row>
    <row r="556" spans="2:86" x14ac:dyDescent="0.3">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6"/>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row>
    <row r="557" spans="2:86" x14ac:dyDescent="0.3">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6"/>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row>
    <row r="558" spans="2:86" x14ac:dyDescent="0.3">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6"/>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row>
    <row r="559" spans="2:86" x14ac:dyDescent="0.3">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6"/>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row>
    <row r="560" spans="2:86" x14ac:dyDescent="0.3">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6"/>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row>
    <row r="561" spans="2:86" x14ac:dyDescent="0.3">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6"/>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row>
    <row r="562" spans="2:86" x14ac:dyDescent="0.3">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6"/>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row>
    <row r="563" spans="2:86" x14ac:dyDescent="0.3">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6"/>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row>
    <row r="564" spans="2:86" x14ac:dyDescent="0.3">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6"/>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row>
    <row r="565" spans="2:86" x14ac:dyDescent="0.3">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6"/>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row>
    <row r="566" spans="2:86" x14ac:dyDescent="0.3">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6"/>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row>
    <row r="567" spans="2:86" x14ac:dyDescent="0.3">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6"/>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row>
    <row r="568" spans="2:86" x14ac:dyDescent="0.3">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6"/>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row>
    <row r="569" spans="2:86" x14ac:dyDescent="0.3">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6"/>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row>
    <row r="570" spans="2:86" x14ac:dyDescent="0.3">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6"/>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row>
    <row r="571" spans="2:86" x14ac:dyDescent="0.3">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6"/>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row>
    <row r="572" spans="2:86" x14ac:dyDescent="0.3">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6"/>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row>
    <row r="573" spans="2:86" x14ac:dyDescent="0.3">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6"/>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row>
    <row r="574" spans="2:86" x14ac:dyDescent="0.3">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6"/>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row>
    <row r="575" spans="2:86" x14ac:dyDescent="0.3">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6"/>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row>
    <row r="576" spans="2:86" x14ac:dyDescent="0.3">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6"/>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row>
    <row r="577" spans="2:86" x14ac:dyDescent="0.3">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6"/>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row>
    <row r="578" spans="2:86" x14ac:dyDescent="0.3">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6"/>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row>
    <row r="579" spans="2:86" x14ac:dyDescent="0.3">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6"/>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row>
    <row r="580" spans="2:86" x14ac:dyDescent="0.3">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6"/>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row>
    <row r="581" spans="2:86" x14ac:dyDescent="0.3">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6"/>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row>
    <row r="582" spans="2:86" x14ac:dyDescent="0.3">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6"/>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row>
    <row r="583" spans="2:86" x14ac:dyDescent="0.3">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6"/>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row>
    <row r="584" spans="2:86" x14ac:dyDescent="0.3">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6"/>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row>
    <row r="585" spans="2:86" x14ac:dyDescent="0.3">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6"/>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row>
    <row r="586" spans="2:86" x14ac:dyDescent="0.3">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6"/>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row>
    <row r="587" spans="2:86" x14ac:dyDescent="0.3">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6"/>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row>
    <row r="588" spans="2:86" x14ac:dyDescent="0.3">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6"/>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row>
    <row r="589" spans="2:86" x14ac:dyDescent="0.3">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6"/>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row>
    <row r="590" spans="2:86" x14ac:dyDescent="0.3">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6"/>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row>
    <row r="591" spans="2:86" x14ac:dyDescent="0.3">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6"/>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row>
    <row r="592" spans="2:86" x14ac:dyDescent="0.3">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6"/>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row>
    <row r="593" spans="2:86" x14ac:dyDescent="0.3">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6"/>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row>
    <row r="594" spans="2:86" x14ac:dyDescent="0.3">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6"/>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row>
    <row r="595" spans="2:86" x14ac:dyDescent="0.3">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6"/>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row>
    <row r="596" spans="2:86" x14ac:dyDescent="0.3">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6"/>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row>
    <row r="597" spans="2:86" x14ac:dyDescent="0.3">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6"/>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row>
    <row r="598" spans="2:86" x14ac:dyDescent="0.3">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6"/>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row>
    <row r="599" spans="2:86" x14ac:dyDescent="0.3">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6"/>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row>
    <row r="600" spans="2:86" x14ac:dyDescent="0.3">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6"/>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row>
    <row r="601" spans="2:86" x14ac:dyDescent="0.3">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6"/>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row>
    <row r="602" spans="2:86" x14ac:dyDescent="0.3">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6"/>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row>
    <row r="603" spans="2:86" x14ac:dyDescent="0.3">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6"/>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row>
    <row r="604" spans="2:86" x14ac:dyDescent="0.3">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6"/>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row>
    <row r="605" spans="2:86" x14ac:dyDescent="0.3">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6"/>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row>
    <row r="606" spans="2:86" x14ac:dyDescent="0.3">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6"/>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row>
    <row r="607" spans="2:86" x14ac:dyDescent="0.3">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6"/>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row>
    <row r="608" spans="2:86" x14ac:dyDescent="0.3">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6"/>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row>
    <row r="609" spans="2:86" x14ac:dyDescent="0.3">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6"/>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row>
    <row r="610" spans="2:86" x14ac:dyDescent="0.3">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6"/>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row>
    <row r="611" spans="2:86" x14ac:dyDescent="0.3">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6"/>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row>
    <row r="612" spans="2:86" x14ac:dyDescent="0.3">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6"/>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row>
    <row r="613" spans="2:86" x14ac:dyDescent="0.3">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6"/>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row>
    <row r="614" spans="2:86" x14ac:dyDescent="0.3">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6"/>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row>
    <row r="615" spans="2:86" x14ac:dyDescent="0.3">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6"/>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row>
    <row r="616" spans="2:86" x14ac:dyDescent="0.3">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6"/>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row>
    <row r="617" spans="2:86" x14ac:dyDescent="0.3">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6"/>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row>
    <row r="618" spans="2:86" x14ac:dyDescent="0.3">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6"/>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row>
    <row r="619" spans="2:86" x14ac:dyDescent="0.3">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6"/>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row>
    <row r="620" spans="2:86" x14ac:dyDescent="0.3">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6"/>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row>
    <row r="621" spans="2:86" x14ac:dyDescent="0.3">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6"/>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row>
    <row r="622" spans="2:86" x14ac:dyDescent="0.3">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6"/>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row>
    <row r="623" spans="2:86" x14ac:dyDescent="0.3">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6"/>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row>
    <row r="624" spans="2:86" x14ac:dyDescent="0.3">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6"/>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row>
    <row r="625" spans="2:86" x14ac:dyDescent="0.3">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6"/>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row>
    <row r="626" spans="2:86" x14ac:dyDescent="0.3">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6"/>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row>
    <row r="627" spans="2:86" x14ac:dyDescent="0.3">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6"/>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row>
    <row r="628" spans="2:86" x14ac:dyDescent="0.3">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6"/>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row>
    <row r="629" spans="2:86" x14ac:dyDescent="0.3">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6"/>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row>
    <row r="630" spans="2:86" x14ac:dyDescent="0.3">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6"/>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row>
    <row r="631" spans="2:86" x14ac:dyDescent="0.3">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6"/>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row>
    <row r="632" spans="2:86" x14ac:dyDescent="0.3">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6"/>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row>
    <row r="633" spans="2:86" x14ac:dyDescent="0.3">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6"/>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row>
    <row r="634" spans="2:86" x14ac:dyDescent="0.3">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6"/>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row>
    <row r="635" spans="2:86" x14ac:dyDescent="0.3">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6"/>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row>
    <row r="636" spans="2:86" x14ac:dyDescent="0.3">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6"/>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row>
    <row r="637" spans="2:86" x14ac:dyDescent="0.3">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6"/>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row>
    <row r="638" spans="2:86" x14ac:dyDescent="0.3">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6"/>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row>
    <row r="639" spans="2:86" x14ac:dyDescent="0.3">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6"/>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row>
    <row r="640" spans="2:86" x14ac:dyDescent="0.3">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6"/>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row>
    <row r="641" spans="2:86" x14ac:dyDescent="0.3">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6"/>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row>
    <row r="642" spans="2:86" x14ac:dyDescent="0.3">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6"/>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row>
    <row r="643" spans="2:86" x14ac:dyDescent="0.3">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6"/>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row>
    <row r="644" spans="2:86" x14ac:dyDescent="0.3">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6"/>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row>
    <row r="645" spans="2:86" x14ac:dyDescent="0.3">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6"/>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row>
    <row r="646" spans="2:86" x14ac:dyDescent="0.3">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6"/>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row>
    <row r="647" spans="2:86" x14ac:dyDescent="0.3">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6"/>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row>
    <row r="648" spans="2:86" x14ac:dyDescent="0.3">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6"/>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row>
    <row r="649" spans="2:86" x14ac:dyDescent="0.3">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6"/>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row>
    <row r="650" spans="2:86" x14ac:dyDescent="0.3">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6"/>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row>
    <row r="651" spans="2:86" x14ac:dyDescent="0.3">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6"/>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row>
    <row r="652" spans="2:86" x14ac:dyDescent="0.3">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6"/>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row>
    <row r="653" spans="2:86" x14ac:dyDescent="0.3">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6"/>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row>
    <row r="654" spans="2:86" x14ac:dyDescent="0.3">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6"/>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row>
    <row r="655" spans="2:86" x14ac:dyDescent="0.3">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6"/>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row>
    <row r="656" spans="2:86" x14ac:dyDescent="0.3">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6"/>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row>
    <row r="657" spans="2:86" x14ac:dyDescent="0.3">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6"/>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row>
    <row r="658" spans="2:86" x14ac:dyDescent="0.3">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6"/>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row>
    <row r="659" spans="2:86" x14ac:dyDescent="0.3">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6"/>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row>
    <row r="660" spans="2:86" x14ac:dyDescent="0.3">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6"/>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row>
    <row r="661" spans="2:86" x14ac:dyDescent="0.3">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6"/>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row>
    <row r="662" spans="2:86" x14ac:dyDescent="0.3">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6"/>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row>
    <row r="663" spans="2:86" x14ac:dyDescent="0.3">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6"/>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row>
    <row r="664" spans="2:86" x14ac:dyDescent="0.3">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6"/>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row>
    <row r="665" spans="2:86" x14ac:dyDescent="0.3">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6"/>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row>
    <row r="666" spans="2:86" x14ac:dyDescent="0.3">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6"/>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row>
    <row r="667" spans="2:86" x14ac:dyDescent="0.3">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6"/>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row>
    <row r="668" spans="2:86" x14ac:dyDescent="0.3">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6"/>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row>
    <row r="669" spans="2:86" x14ac:dyDescent="0.3">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6"/>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row>
    <row r="670" spans="2:86" x14ac:dyDescent="0.3">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6"/>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row>
    <row r="671" spans="2:86" x14ac:dyDescent="0.3">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6"/>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row>
    <row r="672" spans="2:86" x14ac:dyDescent="0.3">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6"/>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row>
    <row r="673" spans="2:86" x14ac:dyDescent="0.3">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6"/>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row>
    <row r="674" spans="2:86" x14ac:dyDescent="0.3">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6"/>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row>
    <row r="675" spans="2:86" x14ac:dyDescent="0.3">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6"/>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row>
    <row r="676" spans="2:86" x14ac:dyDescent="0.3">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6"/>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row>
    <row r="677" spans="2:86" x14ac:dyDescent="0.3">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6"/>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row>
    <row r="678" spans="2:86" x14ac:dyDescent="0.3">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6"/>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row>
    <row r="679" spans="2:86" x14ac:dyDescent="0.3">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6"/>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row>
    <row r="680" spans="2:86" x14ac:dyDescent="0.3">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6"/>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row>
    <row r="681" spans="2:86" x14ac:dyDescent="0.3">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6"/>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row>
    <row r="682" spans="2:86" x14ac:dyDescent="0.3">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6"/>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row>
    <row r="683" spans="2:86" x14ac:dyDescent="0.3">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6"/>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row>
    <row r="684" spans="2:86" x14ac:dyDescent="0.3">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6"/>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row>
    <row r="685" spans="2:86" x14ac:dyDescent="0.3">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6"/>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row>
    <row r="686" spans="2:86" x14ac:dyDescent="0.3">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6"/>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row>
    <row r="687" spans="2:86" x14ac:dyDescent="0.3">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6"/>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row>
    <row r="688" spans="2:86" x14ac:dyDescent="0.3">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6"/>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row>
    <row r="689" spans="2:86" x14ac:dyDescent="0.3">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6"/>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row>
    <row r="690" spans="2:86" x14ac:dyDescent="0.3">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6"/>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row>
    <row r="691" spans="2:86" x14ac:dyDescent="0.3">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6"/>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row>
    <row r="692" spans="2:86" x14ac:dyDescent="0.3">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6"/>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row>
    <row r="693" spans="2:86" x14ac:dyDescent="0.3">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6"/>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row>
    <row r="694" spans="2:86" x14ac:dyDescent="0.3">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6"/>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row>
    <row r="695" spans="2:86" x14ac:dyDescent="0.3">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6"/>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row>
    <row r="696" spans="2:86" x14ac:dyDescent="0.3">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6"/>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row>
    <row r="697" spans="2:86" x14ac:dyDescent="0.3">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6"/>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row>
    <row r="698" spans="2:86" x14ac:dyDescent="0.3">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6"/>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row>
    <row r="699" spans="2:86" x14ac:dyDescent="0.3">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6"/>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row>
    <row r="700" spans="2:86" x14ac:dyDescent="0.3">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6"/>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row>
    <row r="701" spans="2:86" x14ac:dyDescent="0.3">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6"/>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row>
    <row r="702" spans="2:86" x14ac:dyDescent="0.3">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6"/>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row>
    <row r="703" spans="2:86" x14ac:dyDescent="0.3">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6"/>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row>
    <row r="704" spans="2:86" x14ac:dyDescent="0.3">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6"/>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row>
    <row r="705" spans="2:86" x14ac:dyDescent="0.3">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6"/>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row>
    <row r="706" spans="2:86" x14ac:dyDescent="0.3">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6"/>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row>
    <row r="707" spans="2:86" x14ac:dyDescent="0.3">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6"/>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row>
    <row r="708" spans="2:86" x14ac:dyDescent="0.3">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6"/>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row>
    <row r="709" spans="2:86" x14ac:dyDescent="0.3">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6"/>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row>
    <row r="710" spans="2:86" x14ac:dyDescent="0.3">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6"/>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row>
    <row r="711" spans="2:86" x14ac:dyDescent="0.3">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6"/>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row>
    <row r="712" spans="2:86" x14ac:dyDescent="0.3">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6"/>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row>
    <row r="713" spans="2:86" x14ac:dyDescent="0.3">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6"/>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row>
    <row r="714" spans="2:86" x14ac:dyDescent="0.3">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6"/>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row>
    <row r="715" spans="2:86" x14ac:dyDescent="0.3">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6"/>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row>
    <row r="716" spans="2:86" x14ac:dyDescent="0.3">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6"/>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row>
    <row r="717" spans="2:86" x14ac:dyDescent="0.3">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6"/>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row>
    <row r="718" spans="2:86" x14ac:dyDescent="0.3">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6"/>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row>
    <row r="719" spans="2:86" x14ac:dyDescent="0.3">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6"/>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row>
    <row r="720" spans="2:86" x14ac:dyDescent="0.3">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6"/>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row>
    <row r="721" spans="2:86" x14ac:dyDescent="0.3">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6"/>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row>
    <row r="722" spans="2:86" x14ac:dyDescent="0.3">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6"/>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row>
    <row r="723" spans="2:86" x14ac:dyDescent="0.3">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6"/>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row>
    <row r="724" spans="2:86" x14ac:dyDescent="0.3">
      <c r="B724" s="5"/>
      <c r="C724" s="5"/>
      <c r="D724" s="5"/>
      <c r="E724" s="5"/>
      <c r="F724" s="5"/>
      <c r="G724" s="5"/>
      <c r="H724" s="5"/>
      <c r="I724" s="5"/>
      <c r="J724" s="5"/>
      <c r="K724" s="5"/>
      <c r="L724" s="5"/>
      <c r="AC724" s="5"/>
      <c r="AD724" s="5"/>
      <c r="AE724" s="5"/>
      <c r="AF724" s="5"/>
      <c r="AG724" s="5"/>
      <c r="AH724" s="5"/>
      <c r="AI724" s="5"/>
      <c r="AJ724" s="5"/>
      <c r="AK724" s="5"/>
      <c r="AL724" s="5"/>
      <c r="AM724" s="5"/>
      <c r="AN724" s="5"/>
      <c r="AO724" s="6"/>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row>
    <row r="725" spans="2:86" x14ac:dyDescent="0.3">
      <c r="B725" s="5"/>
      <c r="C725" s="5"/>
      <c r="D725" s="5"/>
      <c r="E725" s="5"/>
      <c r="F725" s="5"/>
      <c r="G725" s="5"/>
      <c r="H725" s="5"/>
      <c r="I725" s="5"/>
      <c r="J725" s="5"/>
      <c r="K725" s="5"/>
      <c r="L725" s="5"/>
      <c r="AC725" s="5"/>
      <c r="AD725" s="5"/>
      <c r="AE725" s="5"/>
      <c r="AF725" s="5"/>
      <c r="AG725" s="5"/>
      <c r="AH725" s="5"/>
      <c r="AI725" s="5"/>
      <c r="AJ725" s="5"/>
      <c r="AK725" s="5"/>
      <c r="AL725" s="5"/>
      <c r="AM725" s="5"/>
      <c r="AN725" s="5"/>
      <c r="AO725" s="6"/>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row>
    <row r="726" spans="2:86" x14ac:dyDescent="0.3">
      <c r="B726" s="5"/>
      <c r="C726" s="5"/>
      <c r="D726" s="5"/>
      <c r="E726" s="5"/>
      <c r="F726" s="5"/>
      <c r="G726" s="5"/>
      <c r="H726" s="5"/>
      <c r="I726" s="5"/>
      <c r="J726" s="5"/>
      <c r="K726" s="5"/>
      <c r="L726" s="5"/>
      <c r="AC726" s="5"/>
      <c r="AD726" s="5"/>
      <c r="AE726" s="5"/>
      <c r="AF726" s="5"/>
      <c r="AG726" s="5"/>
      <c r="AH726" s="5"/>
      <c r="AI726" s="5"/>
      <c r="AJ726" s="5"/>
      <c r="AK726" s="5"/>
      <c r="AL726" s="5"/>
      <c r="AM726" s="5"/>
      <c r="AN726" s="5"/>
      <c r="AO726" s="6"/>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row>
    <row r="727" spans="2:86" x14ac:dyDescent="0.3">
      <c r="B727" s="5"/>
      <c r="C727" s="5"/>
      <c r="D727" s="5"/>
      <c r="E727" s="5"/>
      <c r="F727" s="5"/>
      <c r="G727" s="5"/>
      <c r="H727" s="5"/>
      <c r="I727" s="5"/>
      <c r="J727" s="5"/>
      <c r="K727" s="5"/>
      <c r="L727" s="5"/>
      <c r="AC727" s="5"/>
      <c r="AD727" s="5"/>
      <c r="AE727" s="5"/>
      <c r="AF727" s="5"/>
      <c r="AG727" s="5"/>
      <c r="AH727" s="5"/>
      <c r="AI727" s="5"/>
      <c r="AJ727" s="5"/>
      <c r="AK727" s="5"/>
      <c r="AL727" s="5"/>
      <c r="AM727" s="5"/>
      <c r="AN727" s="5"/>
      <c r="AO727" s="6"/>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row>
    <row r="728" spans="2:86" x14ac:dyDescent="0.3">
      <c r="AC728" s="5"/>
      <c r="AD728" s="5"/>
      <c r="AE728" s="5"/>
      <c r="AF728" s="5"/>
      <c r="AG728" s="5"/>
      <c r="AH728" s="5"/>
      <c r="AI728" s="5"/>
      <c r="AJ728" s="5"/>
      <c r="AK728" s="5"/>
      <c r="AL728" s="5"/>
      <c r="AM728" s="5"/>
      <c r="AN728" s="5"/>
      <c r="AO728" s="6"/>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row>
    <row r="729" spans="2:86" x14ac:dyDescent="0.3">
      <c r="AC729" s="5"/>
      <c r="AD729" s="5"/>
      <c r="AE729" s="5"/>
      <c r="AF729" s="5"/>
      <c r="AG729" s="5"/>
      <c r="AH729" s="5"/>
      <c r="AI729" s="5"/>
      <c r="AJ729" s="5"/>
      <c r="AK729" s="5"/>
      <c r="AL729" s="5"/>
      <c r="AM729" s="5"/>
      <c r="AN729" s="5"/>
      <c r="AO729" s="6"/>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row>
    <row r="730" spans="2:86" x14ac:dyDescent="0.3">
      <c r="AC730" s="5"/>
      <c r="AD730" s="5"/>
      <c r="AE730" s="5"/>
      <c r="AF730" s="5"/>
      <c r="AG730" s="5"/>
      <c r="AH730" s="5"/>
      <c r="AI730" s="5"/>
      <c r="AJ730" s="5"/>
      <c r="AK730" s="5"/>
      <c r="AL730" s="5"/>
      <c r="AM730" s="5"/>
      <c r="AN730" s="5"/>
      <c r="AO730" s="6"/>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row>
    <row r="731" spans="2:86" x14ac:dyDescent="0.3">
      <c r="AC731" s="5"/>
      <c r="AD731" s="5"/>
      <c r="AE731" s="5"/>
      <c r="AF731" s="5"/>
      <c r="AG731" s="5"/>
      <c r="AH731" s="5"/>
      <c r="AI731" s="5"/>
      <c r="AJ731" s="5"/>
      <c r="AK731" s="5"/>
      <c r="AL731" s="5"/>
      <c r="AM731" s="5"/>
      <c r="AN731" s="5"/>
      <c r="AO731" s="6"/>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row>
    <row r="732" spans="2:86" x14ac:dyDescent="0.3">
      <c r="AC732" s="5"/>
      <c r="AD732" s="5"/>
      <c r="AE732" s="5"/>
      <c r="AF732" s="5"/>
      <c r="AG732" s="5"/>
      <c r="AH732" s="5"/>
      <c r="AI732" s="5"/>
      <c r="AJ732" s="5"/>
      <c r="AK732" s="5"/>
      <c r="AL732" s="5"/>
      <c r="AM732" s="5"/>
      <c r="AN732" s="5"/>
      <c r="AO732" s="6"/>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row>
    <row r="733" spans="2:86" x14ac:dyDescent="0.3">
      <c r="AC733" s="5"/>
      <c r="AD733" s="5"/>
      <c r="AE733" s="5"/>
      <c r="AF733" s="5"/>
      <c r="AG733" s="5"/>
      <c r="AH733" s="5"/>
      <c r="AI733" s="5"/>
      <c r="AJ733" s="5"/>
      <c r="AK733" s="5"/>
      <c r="AL733" s="5"/>
      <c r="AM733" s="5"/>
      <c r="AN733" s="5"/>
      <c r="AO733" s="6"/>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row>
    <row r="734" spans="2:86" x14ac:dyDescent="0.3">
      <c r="AC734" s="5"/>
      <c r="AD734" s="5"/>
      <c r="AE734" s="5"/>
      <c r="AF734" s="5"/>
      <c r="AG734" s="5"/>
      <c r="AH734" s="5"/>
      <c r="AI734" s="5"/>
      <c r="AJ734" s="5"/>
      <c r="AK734" s="5"/>
      <c r="AL734" s="5"/>
      <c r="AM734" s="5"/>
      <c r="AN734" s="5"/>
      <c r="AO734" s="6"/>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row>
    <row r="735" spans="2:86" x14ac:dyDescent="0.3">
      <c r="AC735" s="5"/>
      <c r="AD735" s="5"/>
      <c r="AE735" s="5"/>
      <c r="AF735" s="5"/>
      <c r="AG735" s="5"/>
      <c r="AH735" s="5"/>
      <c r="AI735" s="5"/>
      <c r="AJ735" s="5"/>
      <c r="AK735" s="5"/>
      <c r="AL735" s="5"/>
      <c r="AM735" s="5"/>
      <c r="AN735" s="5"/>
      <c r="AO735" s="6"/>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row>
    <row r="736" spans="2:86" x14ac:dyDescent="0.3">
      <c r="AC736" s="5"/>
      <c r="AD736" s="5"/>
      <c r="AE736" s="5"/>
      <c r="AF736" s="5"/>
      <c r="AG736" s="5"/>
      <c r="AH736" s="5"/>
      <c r="AI736" s="5"/>
      <c r="AJ736" s="5"/>
      <c r="AK736" s="5"/>
      <c r="AL736" s="5"/>
      <c r="AM736" s="5"/>
      <c r="AN736" s="5"/>
      <c r="AO736" s="6"/>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row>
    <row r="737" spans="29:86" x14ac:dyDescent="0.3">
      <c r="AC737" s="5"/>
      <c r="AD737" s="5"/>
      <c r="AE737" s="5"/>
      <c r="AF737" s="5"/>
      <c r="AG737" s="5"/>
      <c r="AH737" s="5"/>
      <c r="AI737" s="5"/>
      <c r="AJ737" s="5"/>
      <c r="AK737" s="5"/>
      <c r="AL737" s="5"/>
      <c r="AM737" s="5"/>
      <c r="AN737" s="5"/>
      <c r="AO737" s="6"/>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row>
    <row r="738" spans="29:86" x14ac:dyDescent="0.3">
      <c r="AC738" s="5"/>
      <c r="AD738" s="5"/>
      <c r="AE738" s="5"/>
      <c r="AF738" s="5"/>
      <c r="AG738" s="5"/>
      <c r="AH738" s="5"/>
      <c r="AI738" s="5"/>
      <c r="AJ738" s="5"/>
      <c r="AK738" s="5"/>
      <c r="AL738" s="5"/>
      <c r="AM738" s="5"/>
      <c r="AN738" s="5"/>
      <c r="AO738" s="6"/>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row>
    <row r="739" spans="29:86" x14ac:dyDescent="0.3">
      <c r="AC739" s="5"/>
      <c r="AD739" s="5"/>
      <c r="AE739" s="5"/>
      <c r="AF739" s="5"/>
      <c r="AG739" s="5"/>
      <c r="AH739" s="5"/>
      <c r="AI739" s="5"/>
      <c r="AJ739" s="5"/>
      <c r="AK739" s="5"/>
      <c r="AL739" s="5"/>
      <c r="AM739" s="5"/>
      <c r="AN739" s="5"/>
      <c r="AO739" s="6"/>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row>
    <row r="740" spans="29:86" x14ac:dyDescent="0.3">
      <c r="AC740" s="5"/>
      <c r="AD740" s="5"/>
      <c r="AE740" s="5"/>
      <c r="AF740" s="5"/>
      <c r="AG740" s="5"/>
      <c r="AH740" s="5"/>
      <c r="AI740" s="5"/>
      <c r="AJ740" s="5"/>
      <c r="AK740" s="5"/>
      <c r="AL740" s="5"/>
      <c r="AM740" s="5"/>
      <c r="AN740" s="5"/>
      <c r="AO740" s="6"/>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row>
    <row r="741" spans="29:86" x14ac:dyDescent="0.3">
      <c r="AC741" s="5"/>
      <c r="AD741" s="5"/>
      <c r="AE741" s="5"/>
      <c r="AF741" s="5"/>
      <c r="AG741" s="5"/>
      <c r="AH741" s="5"/>
      <c r="AI741" s="5"/>
      <c r="AJ741" s="5"/>
      <c r="AK741" s="5"/>
      <c r="AL741" s="5"/>
      <c r="AM741" s="5"/>
      <c r="AN741" s="5"/>
      <c r="AO741" s="6"/>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row>
    <row r="742" spans="29:86" x14ac:dyDescent="0.3">
      <c r="AC742" s="5"/>
      <c r="AD742" s="5"/>
      <c r="AE742" s="5"/>
      <c r="AF742" s="5"/>
      <c r="AG742" s="5"/>
      <c r="AH742" s="5"/>
      <c r="AI742" s="5"/>
      <c r="AJ742" s="5"/>
      <c r="AK742" s="5"/>
      <c r="AL742" s="5"/>
      <c r="AM742" s="5"/>
      <c r="AN742" s="5"/>
      <c r="AO742" s="6"/>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row>
    <row r="743" spans="29:86" x14ac:dyDescent="0.3">
      <c r="AC743" s="5"/>
      <c r="AD743" s="5"/>
      <c r="AE743" s="5"/>
      <c r="AF743" s="5"/>
      <c r="AG743" s="5"/>
      <c r="AH743" s="5"/>
      <c r="AI743" s="5"/>
      <c r="AJ743" s="5"/>
      <c r="AK743" s="5"/>
      <c r="AL743" s="5"/>
      <c r="AM743" s="5"/>
      <c r="AN743" s="5"/>
      <c r="AO743" s="6"/>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row>
    <row r="744" spans="29:86" x14ac:dyDescent="0.3">
      <c r="AC744" s="5"/>
      <c r="AD744" s="5"/>
      <c r="AE744" s="5"/>
      <c r="AF744" s="5"/>
      <c r="AG744" s="5"/>
      <c r="AH744" s="5"/>
      <c r="AI744" s="5"/>
      <c r="AJ744" s="5"/>
      <c r="AK744" s="5"/>
      <c r="AL744" s="5"/>
      <c r="AM744" s="5"/>
      <c r="AN744" s="5"/>
      <c r="AO744" s="6"/>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row>
    <row r="745" spans="29:86" x14ac:dyDescent="0.3">
      <c r="AC745" s="5"/>
      <c r="AD745" s="5"/>
      <c r="AE745" s="5"/>
      <c r="AF745" s="5"/>
      <c r="AG745" s="5"/>
      <c r="AH745" s="5"/>
      <c r="AI745" s="5"/>
      <c r="AJ745" s="5"/>
      <c r="AK745" s="5"/>
      <c r="AL745" s="5"/>
      <c r="AM745" s="5"/>
      <c r="AN745" s="5"/>
      <c r="AO745" s="6"/>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row>
    <row r="746" spans="29:86" x14ac:dyDescent="0.3">
      <c r="AC746" s="5"/>
      <c r="AD746" s="5"/>
      <c r="AE746" s="5"/>
      <c r="AF746" s="5"/>
      <c r="AG746" s="5"/>
      <c r="AH746" s="5"/>
      <c r="AI746" s="5"/>
      <c r="AJ746" s="5"/>
      <c r="AK746" s="5"/>
      <c r="AL746" s="5"/>
      <c r="AM746" s="5"/>
      <c r="AN746" s="5"/>
      <c r="AO746" s="6"/>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row>
    <row r="747" spans="29:86" x14ac:dyDescent="0.3">
      <c r="AC747" s="5"/>
      <c r="AD747" s="5"/>
      <c r="AE747" s="5"/>
      <c r="AF747" s="5"/>
      <c r="AG747" s="5"/>
      <c r="AH747" s="5"/>
      <c r="AI747" s="5"/>
      <c r="AJ747" s="5"/>
      <c r="AK747" s="5"/>
      <c r="AL747" s="5"/>
      <c r="AM747" s="5"/>
      <c r="AN747" s="5"/>
      <c r="AO747" s="6"/>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row>
    <row r="748" spans="29:86" x14ac:dyDescent="0.3">
      <c r="AC748" s="5"/>
      <c r="AD748" s="5"/>
      <c r="AE748" s="5"/>
      <c r="AF748" s="5"/>
      <c r="AG748" s="5"/>
      <c r="AH748" s="5"/>
      <c r="AI748" s="5"/>
      <c r="AJ748" s="5"/>
      <c r="AK748" s="5"/>
      <c r="AL748" s="5"/>
      <c r="AM748" s="5"/>
      <c r="AN748" s="5"/>
      <c r="AO748" s="6"/>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row>
    <row r="749" spans="29:86" x14ac:dyDescent="0.3">
      <c r="AC749" s="5"/>
      <c r="AD749" s="5"/>
      <c r="AE749" s="5"/>
      <c r="AF749" s="5"/>
      <c r="AG749" s="5"/>
      <c r="AH749" s="5"/>
      <c r="AI749" s="5"/>
      <c r="AJ749" s="5"/>
      <c r="AK749" s="5"/>
      <c r="AL749" s="5"/>
      <c r="AM749" s="5"/>
      <c r="AN749" s="5"/>
      <c r="AO749" s="6"/>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row>
    <row r="750" spans="29:86" x14ac:dyDescent="0.3">
      <c r="AC750" s="5"/>
      <c r="AD750" s="5"/>
      <c r="AE750" s="5"/>
      <c r="AF750" s="5"/>
      <c r="AG750" s="5"/>
      <c r="AH750" s="5"/>
      <c r="AI750" s="5"/>
      <c r="AJ750" s="5"/>
      <c r="AK750" s="5"/>
      <c r="AL750" s="5"/>
      <c r="AM750" s="5"/>
      <c r="AN750" s="5"/>
      <c r="AO750" s="6"/>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row>
    <row r="751" spans="29:86" x14ac:dyDescent="0.3">
      <c r="AC751" s="5"/>
      <c r="AD751" s="5"/>
      <c r="AE751" s="5"/>
      <c r="AF751" s="5"/>
      <c r="AG751" s="5"/>
      <c r="AH751" s="5"/>
      <c r="AI751" s="5"/>
      <c r="AJ751" s="5"/>
      <c r="AK751" s="5"/>
      <c r="AL751" s="5"/>
      <c r="AM751" s="5"/>
      <c r="AN751" s="5"/>
      <c r="AO751" s="6"/>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row>
    <row r="752" spans="29:86" x14ac:dyDescent="0.3">
      <c r="AC752" s="5"/>
      <c r="AD752" s="5"/>
      <c r="AE752" s="5"/>
      <c r="AF752" s="5"/>
      <c r="AG752" s="5"/>
      <c r="AH752" s="5"/>
      <c r="AI752" s="5"/>
      <c r="AJ752" s="5"/>
      <c r="AK752" s="5"/>
      <c r="AL752" s="5"/>
      <c r="AM752" s="5"/>
      <c r="AN752" s="5"/>
      <c r="AO752" s="6"/>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row>
    <row r="753" spans="29:86" x14ac:dyDescent="0.3">
      <c r="AC753" s="5"/>
      <c r="AD753" s="5"/>
      <c r="AE753" s="5"/>
      <c r="AF753" s="5"/>
      <c r="AG753" s="5"/>
      <c r="AH753" s="5"/>
      <c r="AI753" s="5"/>
      <c r="AJ753" s="5"/>
      <c r="AK753" s="5"/>
      <c r="AL753" s="5"/>
      <c r="AM753" s="5"/>
      <c r="AN753" s="5"/>
      <c r="AO753" s="6"/>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row>
    <row r="754" spans="29:86" x14ac:dyDescent="0.3">
      <c r="AC754" s="5"/>
      <c r="AD754" s="5"/>
      <c r="AE754" s="5"/>
      <c r="AF754" s="5"/>
      <c r="AG754" s="5"/>
      <c r="AH754" s="5"/>
      <c r="AI754" s="5"/>
      <c r="AJ754" s="5"/>
      <c r="AK754" s="5"/>
      <c r="AL754" s="5"/>
      <c r="AM754" s="5"/>
      <c r="AN754" s="5"/>
      <c r="AO754" s="6"/>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c r="CF754" s="5"/>
      <c r="CG754" s="5"/>
      <c r="CH754" s="5"/>
    </row>
    <row r="755" spans="29:86" x14ac:dyDescent="0.3">
      <c r="AC755" s="5"/>
      <c r="AD755" s="5"/>
      <c r="AE755" s="5"/>
      <c r="AF755" s="5"/>
      <c r="AG755" s="5"/>
      <c r="AH755" s="5"/>
      <c r="AI755" s="5"/>
      <c r="AJ755" s="5"/>
      <c r="AK755" s="5"/>
      <c r="AL755" s="5"/>
      <c r="AM755" s="5"/>
      <c r="AN755" s="5"/>
      <c r="AO755" s="6"/>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row>
    <row r="756" spans="29:86" x14ac:dyDescent="0.3">
      <c r="AC756" s="5"/>
      <c r="AD756" s="5"/>
      <c r="AE756" s="5"/>
      <c r="AF756" s="5"/>
      <c r="AG756" s="5"/>
      <c r="AH756" s="5"/>
      <c r="AI756" s="5"/>
      <c r="AJ756" s="5"/>
      <c r="AK756" s="5"/>
      <c r="AL756" s="5"/>
      <c r="AM756" s="5"/>
      <c r="AN756" s="5"/>
      <c r="AO756" s="6"/>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row>
    <row r="757" spans="29:86" x14ac:dyDescent="0.3">
      <c r="AC757" s="5"/>
      <c r="AD757" s="5"/>
      <c r="AE757" s="5"/>
      <c r="AF757" s="5"/>
      <c r="AG757" s="5"/>
      <c r="AH757" s="5"/>
      <c r="AI757" s="5"/>
      <c r="AJ757" s="5"/>
      <c r="AK757" s="5"/>
      <c r="AL757" s="5"/>
      <c r="AM757" s="5"/>
      <c r="AN757" s="5"/>
      <c r="AO757" s="6"/>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row>
    <row r="758" spans="29:86" x14ac:dyDescent="0.3">
      <c r="AC758" s="5"/>
      <c r="AD758" s="5"/>
      <c r="AE758" s="5"/>
      <c r="AF758" s="5"/>
      <c r="AG758" s="5"/>
      <c r="AH758" s="5"/>
      <c r="AI758" s="5"/>
      <c r="AJ758" s="5"/>
      <c r="AK758" s="5"/>
      <c r="AL758" s="5"/>
      <c r="AM758" s="5"/>
      <c r="AN758" s="5"/>
      <c r="AO758" s="6"/>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row>
    <row r="759" spans="29:86" x14ac:dyDescent="0.3">
      <c r="AC759" s="5"/>
      <c r="AD759" s="5"/>
      <c r="AE759" s="5"/>
      <c r="AF759" s="5"/>
      <c r="AG759" s="5"/>
      <c r="AH759" s="5"/>
      <c r="AI759" s="5"/>
      <c r="AJ759" s="5"/>
      <c r="AK759" s="5"/>
      <c r="AL759" s="5"/>
      <c r="AM759" s="5"/>
      <c r="AN759" s="5"/>
      <c r="AO759" s="6"/>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row>
    <row r="760" spans="29:86" x14ac:dyDescent="0.3">
      <c r="AC760" s="5"/>
      <c r="AD760" s="5"/>
      <c r="AE760" s="5"/>
      <c r="AF760" s="5"/>
      <c r="AG760" s="5"/>
      <c r="AH760" s="5"/>
      <c r="AI760" s="5"/>
      <c r="AJ760" s="5"/>
      <c r="AK760" s="5"/>
      <c r="AL760" s="5"/>
      <c r="AM760" s="5"/>
      <c r="AN760" s="5"/>
      <c r="AO760" s="6"/>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row>
    <row r="761" spans="29:86" x14ac:dyDescent="0.3">
      <c r="AC761" s="5"/>
      <c r="AD761" s="5"/>
      <c r="AE761" s="5"/>
      <c r="AF761" s="5"/>
      <c r="AG761" s="5"/>
      <c r="AH761" s="5"/>
      <c r="AI761" s="5"/>
      <c r="AJ761" s="5"/>
      <c r="AK761" s="5"/>
      <c r="AL761" s="5"/>
      <c r="AM761" s="5"/>
      <c r="AN761" s="5"/>
      <c r="AO761" s="6"/>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row>
    <row r="762" spans="29:86" x14ac:dyDescent="0.3">
      <c r="AL762" s="5"/>
      <c r="AM762" s="5"/>
      <c r="AN762" s="5"/>
      <c r="AO762" s="6"/>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row>
    <row r="763" spans="29:86" x14ac:dyDescent="0.3">
      <c r="AL763" s="5"/>
      <c r="AM763" s="5"/>
      <c r="AN763" s="5"/>
      <c r="AO763" s="6"/>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row>
    <row r="764" spans="29:86" x14ac:dyDescent="0.3">
      <c r="AL764" s="5"/>
      <c r="AM764" s="5"/>
      <c r="AN764" s="5"/>
      <c r="AO764" s="6"/>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row>
    <row r="765" spans="29:86" x14ac:dyDescent="0.3">
      <c r="AL765" s="5"/>
      <c r="AM765" s="5"/>
      <c r="AN765" s="5"/>
      <c r="AO765" s="6"/>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row>
    <row r="766" spans="29:86" x14ac:dyDescent="0.3">
      <c r="AL766" s="5"/>
      <c r="AM766" s="5"/>
      <c r="AN766" s="5"/>
      <c r="AO766" s="6"/>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row>
    <row r="767" spans="29:86" x14ac:dyDescent="0.3">
      <c r="AL767" s="5"/>
      <c r="AM767" s="5"/>
      <c r="AN767" s="5"/>
      <c r="AO767" s="6"/>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row>
    <row r="768" spans="29:86" x14ac:dyDescent="0.3">
      <c r="AL768" s="5"/>
      <c r="AM768" s="5"/>
      <c r="AN768" s="5"/>
      <c r="AO768" s="6"/>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row>
    <row r="769" spans="38:86" x14ac:dyDescent="0.3">
      <c r="AL769" s="5"/>
      <c r="AM769" s="5"/>
      <c r="AN769" s="5"/>
      <c r="AO769" s="6"/>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row>
    <row r="770" spans="38:86" x14ac:dyDescent="0.3">
      <c r="AL770" s="5"/>
      <c r="AM770" s="5"/>
      <c r="AN770" s="5"/>
      <c r="AO770" s="6"/>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row>
    <row r="771" spans="38:86" x14ac:dyDescent="0.3">
      <c r="AL771" s="5"/>
      <c r="AM771" s="5"/>
      <c r="AN771" s="5"/>
      <c r="AO771" s="6"/>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row>
  </sheetData>
  <sheetProtection algorithmName="SHA-512" hashValue="IC6ZtskUgcerI7S5Ox8d44uY76Badd2CHhATBtLQXmyi2BfxvRYp/h11IZCkSS+QJwHZ40S/tOciKUKuwYkUNA==" saltValue="+v6+Inoq8d+xi3VehWOaJw==" spinCount="100000" sheet="1" selectLockedCells="1"/>
  <mergeCells count="4">
    <mergeCell ref="E14:F14"/>
    <mergeCell ref="E15:F15"/>
    <mergeCell ref="D258:K265"/>
    <mergeCell ref="D271:H274"/>
  </mergeCells>
  <conditionalFormatting sqref="B5">
    <cfRule type="cellIs" dxfId="4" priority="1" operator="equal">
      <formula>"In Progress"</formula>
    </cfRule>
    <cfRule type="cellIs" dxfId="3" priority="2" operator="equal">
      <formula>"Not Started"</formula>
    </cfRule>
    <cfRule type="cellIs" dxfId="2" priority="3" operator="equal">
      <formula>"Completed"</formula>
    </cfRule>
  </conditionalFormatting>
  <conditionalFormatting sqref="C199:C201">
    <cfRule type="expression" dxfId="1" priority="4">
      <formula>$E$199&gt;$E$200</formula>
    </cfRule>
  </conditionalFormatting>
  <conditionalFormatting sqref="C201">
    <cfRule type="expression" dxfId="0" priority="5">
      <formula>$E$199&gt;$E$200</formula>
    </cfRule>
  </conditionalFormatting>
  <dataValidations disablePrompts="1" count="1">
    <dataValidation type="custom" allowBlank="1" showInputMessage="1" showErrorMessage="1" sqref="A118:A119 A5:A56" xr:uid="{89A62446-27F2-45DE-8A30-ADEA9B26E6F9}">
      <formula1>"&lt;0&gt;0"</formula1>
    </dataValidation>
  </dataValidations>
  <pageMargins left="0.25" right="0.25" top="0.75" bottom="0.75" header="0.3" footer="0.3"/>
  <pageSetup scale="21" fitToWidth="3" orientation="portrait" r:id="rId1"/>
  <headerFooter>
    <oddHeader>&amp;L&amp;G</oddHeader>
    <oddFooter>&amp;LVersion - 2023.0.01&amp;CWHEDA MULTIFAMILY APPLICATION&amp;R&amp;P of &amp;N</oddFooter>
  </headerFooter>
  <colBreaks count="1" manualBreakCount="1">
    <brk id="19" min="6" max="264"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23. Construction Draw Schedule</vt:lpstr>
      <vt:lpstr>Construction_Draw_Schedule</vt:lpstr>
      <vt:lpstr>'23. Construction Draw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Beres</dc:creator>
  <cp:lastModifiedBy>Emily Z. Francis</cp:lastModifiedBy>
  <dcterms:created xsi:type="dcterms:W3CDTF">2023-01-19T17:47:07Z</dcterms:created>
  <dcterms:modified xsi:type="dcterms:W3CDTF">2023-01-20T21:44:49Z</dcterms:modified>
</cp:coreProperties>
</file>