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S:\shared\CREDIT\LIHTC\2022 Program\Application\HTC Application Materials\Appndices\"/>
    </mc:Choice>
  </mc:AlternateContent>
  <xr:revisionPtr revIDLastSave="0" documentId="13_ncr:8001_{3B71B94C-2931-4B04-9DF5-2584C7624D22}" xr6:coauthVersionLast="47" xr6:coauthVersionMax="47" xr10:uidLastSave="{00000000-0000-0000-0000-000000000000}"/>
  <workbookProtection workbookPassword="C092" lockStructure="1"/>
  <bookViews>
    <workbookView xWindow="28680" yWindow="-120" windowWidth="29040" windowHeight="15840" xr2:uid="{00000000-000D-0000-FFFF-FFFF00000000}"/>
  </bookViews>
  <sheets>
    <sheet name="Cost Model" sheetId="1" r:id="rId1"/>
    <sheet name="Metro Counties" sheetId="2" r:id="rId2"/>
  </sheets>
  <definedNames>
    <definedName name="_xlnm.Print_Area" localSheetId="0">'Cost Model'!$A$1:$E$46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 i="1" l="1"/>
  <c r="I40" i="1"/>
  <c r="H41" i="1"/>
  <c r="H40" i="1"/>
  <c r="E38" i="1"/>
  <c r="A8" i="1" l="1"/>
  <c r="E39" i="1" l="1"/>
  <c r="A10" i="1" l="1"/>
  <c r="G24" i="1"/>
  <c r="G25" i="1"/>
  <c r="G26" i="1"/>
  <c r="G27" i="1"/>
  <c r="G28" i="1"/>
  <c r="G29" i="1"/>
  <c r="G30" i="1"/>
  <c r="G31" i="1"/>
  <c r="G34" i="1"/>
  <c r="E36" i="1"/>
  <c r="G36" i="1" s="1"/>
  <c r="L40" i="1" l="1"/>
  <c r="L41" i="1" s="1"/>
  <c r="H28" i="1"/>
  <c r="J31" i="1"/>
  <c r="J30" i="1"/>
  <c r="I29" i="1"/>
  <c r="B42" i="1"/>
  <c r="E40" i="1" l="1"/>
  <c r="J40" i="1" l="1"/>
  <c r="M40" i="1" s="1"/>
  <c r="J41" i="1"/>
  <c r="M41" i="1" s="1"/>
  <c r="M42" i="1" l="1"/>
  <c r="K40" i="1"/>
  <c r="N40" i="1" s="1"/>
  <c r="K41" i="1"/>
  <c r="N41" i="1" s="1"/>
  <c r="E44" i="1"/>
  <c r="N42" i="1" l="1"/>
  <c r="E42" i="1" s="1"/>
  <c r="E46" i="1" s="1"/>
</calcChain>
</file>

<file path=xl/sharedStrings.xml><?xml version="1.0" encoding="utf-8"?>
<sst xmlns="http://schemas.openxmlformats.org/spreadsheetml/2006/main" count="97" uniqueCount="84">
  <si>
    <t>Does this development primarily contain single-family homes and duplexes?</t>
  </si>
  <si>
    <t>Douglas</t>
  </si>
  <si>
    <t>Pierce</t>
  </si>
  <si>
    <t>St. Croix</t>
  </si>
  <si>
    <t>Eau Claire</t>
  </si>
  <si>
    <t>Chippewa</t>
  </si>
  <si>
    <t>Marathon</t>
  </si>
  <si>
    <t>La Crosse</t>
  </si>
  <si>
    <t>Shawano</t>
  </si>
  <si>
    <t>Brown</t>
  </si>
  <si>
    <t>Kewaunee</t>
  </si>
  <si>
    <t>Outagamie</t>
  </si>
  <si>
    <t>Calumet</t>
  </si>
  <si>
    <t>Winnebago</t>
  </si>
  <si>
    <t>Fond du Lac</t>
  </si>
  <si>
    <t>Sheboygan</t>
  </si>
  <si>
    <t>Iowa</t>
  </si>
  <si>
    <t>Dane</t>
  </si>
  <si>
    <t>Columbia</t>
  </si>
  <si>
    <t>Rock</t>
  </si>
  <si>
    <t>Washington</t>
  </si>
  <si>
    <t>Waukesha</t>
  </si>
  <si>
    <t>Ozaukee</t>
  </si>
  <si>
    <t>Milwaukee</t>
  </si>
  <si>
    <t>Kenosha</t>
  </si>
  <si>
    <t>Racine</t>
  </si>
  <si>
    <t>A</t>
  </si>
  <si>
    <t>B</t>
  </si>
  <si>
    <t>C</t>
  </si>
  <si>
    <t>D</t>
  </si>
  <si>
    <t>E</t>
  </si>
  <si>
    <t>F</t>
  </si>
  <si>
    <t>G</t>
  </si>
  <si>
    <t>H</t>
  </si>
  <si>
    <t>I</t>
  </si>
  <si>
    <t>J</t>
  </si>
  <si>
    <t>Yes</t>
  </si>
  <si>
    <t>No</t>
  </si>
  <si>
    <t>Calculated Cost Limit</t>
  </si>
  <si>
    <t>Does this development primarily contain supportive housing units?</t>
  </si>
  <si>
    <t>Does this development primarily address the rehabilitation of foreclosed or abandoned single family homes or duplexes?</t>
  </si>
  <si>
    <t>K</t>
  </si>
  <si>
    <t>L</t>
  </si>
  <si>
    <t>Maximum Per-Unit Cost for this Development</t>
  </si>
  <si>
    <t>Is the development located in the City of Milwaukee?</t>
  </si>
  <si>
    <t>Is the development located in the City of Madison?</t>
  </si>
  <si>
    <t>Is the development located on Wisconsin Tribal Lands?</t>
  </si>
  <si>
    <t>Is the development located in one of the metropolitan counties listed on the Metro Counties page (excluding Milwaukee and Madison)?</t>
  </si>
  <si>
    <t>Name:</t>
  </si>
  <si>
    <t>Submit a printed copy of this document with your LIHTC application</t>
  </si>
  <si>
    <t>Application #:</t>
  </si>
  <si>
    <t>M</t>
  </si>
  <si>
    <t>Total number of units in this development</t>
  </si>
  <si>
    <t>Allowance for supportive housing developments and those addressing foreclosed/abandoned homes</t>
  </si>
  <si>
    <t>Gross square feet in this development</t>
  </si>
  <si>
    <t>Is this a rehabilitation development with per per-unit rehabilitation costs in excess of $50,000?</t>
  </si>
  <si>
    <t>Is this a rehabilitation development with per per-unit rehabilitation costs between $25,000 and $50,000?</t>
  </si>
  <si>
    <t>Max Cost</t>
  </si>
  <si>
    <t>NC - Ad Reuse</t>
  </si>
  <si>
    <t>Acq Rehab</t>
  </si>
  <si>
    <t>Min Cost</t>
  </si>
  <si>
    <t>Limit</t>
  </si>
  <si>
    <t>Appendix F</t>
  </si>
  <si>
    <t>Number of Acquisition-Rehab Units:</t>
  </si>
  <si>
    <t>NC</t>
  </si>
  <si>
    <t>A/R</t>
  </si>
  <si>
    <t>Number of New Construction Units:</t>
  </si>
  <si>
    <t>Number of Adaptive Reuse Units:</t>
  </si>
  <si>
    <t>Ad Reuse</t>
  </si>
  <si>
    <t>Calcualtions</t>
  </si>
  <si>
    <t>Calc Amt</t>
  </si>
  <si>
    <t>Weighted</t>
  </si>
  <si>
    <t>% Units</t>
  </si>
  <si>
    <t>Subtotal</t>
  </si>
  <si>
    <t>Development costs attributable to emplopyment-related Community Service Facilitiy</t>
  </si>
  <si>
    <t>Is this a primarily new construction development?</t>
  </si>
  <si>
    <t>Is this a primarily adaptive reuse development?</t>
  </si>
  <si>
    <t>Wisconsin Metropolitan Counties</t>
  </si>
  <si>
    <r>
      <rPr>
        <b/>
        <i/>
        <sz val="11"/>
        <color theme="1"/>
        <rFont val="Calibri"/>
        <family val="2"/>
        <scheme val="minor"/>
      </rPr>
      <t>For 4% transactions only</t>
    </r>
    <r>
      <rPr>
        <sz val="11"/>
        <color theme="1"/>
        <rFont val="Calibri"/>
        <family val="2"/>
        <scheme val="minor"/>
      </rPr>
      <t xml:space="preserve">, enter any developer fee above the current limit for 9% transactions </t>
    </r>
  </si>
  <si>
    <t>Insert development name, application number, unit mix, employment-related Community Service, or 4% transaction developer fee above the current limit for 9% transaction costs immediately below, and complete the cells highlighed in yellow in column E</t>
  </si>
  <si>
    <t>WHEDA limits total development cost for any one development for both HTC and lending.   This is a threshold item and applications exceeding the allowed maximum will be rejected.  Public housing authorities are exempt if they are the primary applicant and HOPE VI or Choice Neighborhood Initative grant is a source of funds. Tribal housing authorities are exempt if they are the primary applicant and NAHASDA or similar funding is a source of funds.   Development costs attributable to employment-related Community Service Facilities and 4% transaction developer fee above the current limit for 9% transaction will be excluded from the calculation of the maximum cost.</t>
  </si>
  <si>
    <t xml:space="preserve">The model is based on historical data from Wisconsin’s HTC program and uses regression modeling with combinations of variables listed below to predict costs.  A development is limited to the Maximum Per-Unit Cost calculated below.  </t>
  </si>
  <si>
    <t>30% Allowance</t>
  </si>
  <si>
    <t>WHEDA Multifamily Maximum Cost Model: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</si>
</sst>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7"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11"/>
      <name val="Calibri"/>
      <family val="2"/>
      <scheme val="minor"/>
    </font>
    <font>
      <b/>
      <sz val="16"/>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1" fillId="0" borderId="0" xfId="0" applyFont="1"/>
    <xf numFmtId="0" fontId="0" fillId="0" borderId="0" xfId="0" applyAlignment="1">
      <alignment vertical="center"/>
    </xf>
    <xf numFmtId="0" fontId="1" fillId="0" borderId="1" xfId="0" applyFont="1" applyBorder="1" applyAlignment="1">
      <alignment vertical="center"/>
    </xf>
    <xf numFmtId="0" fontId="2" fillId="0" borderId="0" xfId="0" applyFont="1"/>
    <xf numFmtId="0" fontId="1" fillId="0" borderId="3" xfId="0" applyFont="1" applyBorder="1" applyAlignment="1">
      <alignment vertical="center"/>
    </xf>
    <xf numFmtId="0" fontId="0" fillId="0" borderId="0" xfId="0" applyAlignment="1">
      <alignment horizontal="center" vertical="center"/>
    </xf>
    <xf numFmtId="6" fontId="0" fillId="0" borderId="0" xfId="0" applyNumberFormat="1" applyAlignment="1">
      <alignment vertical="center"/>
    </xf>
    <xf numFmtId="6" fontId="0" fillId="0" borderId="4" xfId="0" applyNumberFormat="1" applyBorder="1" applyAlignment="1">
      <alignment vertical="center"/>
    </xf>
    <xf numFmtId="0" fontId="0" fillId="2" borderId="5" xfId="0" applyFill="1" applyBorder="1" applyAlignment="1" applyProtection="1">
      <alignment horizontal="right" vertical="center"/>
      <protection locked="0"/>
    </xf>
    <xf numFmtId="38" fontId="0" fillId="2" borderId="5" xfId="0" applyNumberFormat="1" applyFill="1" applyBorder="1" applyAlignment="1" applyProtection="1">
      <alignment horizontal="right" vertical="center"/>
      <protection locked="0"/>
    </xf>
    <xf numFmtId="0" fontId="0" fillId="0" borderId="6" xfId="0" applyBorder="1"/>
    <xf numFmtId="6" fontId="0" fillId="0" borderId="0" xfId="0" applyNumberFormat="1" applyBorder="1" applyAlignment="1">
      <alignment horizontal="center"/>
    </xf>
    <xf numFmtId="0" fontId="0" fillId="0" borderId="7" xfId="0" applyBorder="1"/>
    <xf numFmtId="6" fontId="0" fillId="0" borderId="4" xfId="0" applyNumberFormat="1" applyBorder="1" applyAlignment="1">
      <alignment horizontal="center"/>
    </xf>
    <xf numFmtId="0" fontId="0" fillId="0" borderId="1" xfId="0" applyBorder="1"/>
    <xf numFmtId="0" fontId="0" fillId="0" borderId="3" xfId="0" applyBorder="1" applyAlignment="1">
      <alignment horizontal="center"/>
    </xf>
    <xf numFmtId="0" fontId="0" fillId="0" borderId="2" xfId="0" applyBorder="1" applyAlignment="1">
      <alignment horizontal="center"/>
    </xf>
    <xf numFmtId="6" fontId="0" fillId="0" borderId="8" xfId="0" applyNumberFormat="1" applyBorder="1" applyAlignment="1">
      <alignment horizontal="center"/>
    </xf>
    <xf numFmtId="6" fontId="0" fillId="0" borderId="9" xfId="0" applyNumberFormat="1" applyBorder="1" applyAlignment="1">
      <alignment horizontal="center"/>
    </xf>
    <xf numFmtId="0" fontId="3" fillId="0" borderId="0" xfId="0" applyFont="1" applyAlignment="1">
      <alignment horizontal="center"/>
    </xf>
    <xf numFmtId="0" fontId="4" fillId="0" borderId="0" xfId="0" applyFont="1" applyBorder="1" applyAlignment="1">
      <alignment horizontal="center" wrapText="1"/>
    </xf>
    <xf numFmtId="0" fontId="0" fillId="0" borderId="0" xfId="0" applyFont="1" applyAlignment="1">
      <alignment horizontal="left"/>
    </xf>
    <xf numFmtId="0" fontId="0" fillId="0" borderId="4" xfId="0" applyBorder="1" applyAlignment="1" applyProtection="1">
      <alignment horizontal="left"/>
      <protection locked="0"/>
    </xf>
    <xf numFmtId="0" fontId="0" fillId="0" borderId="0" xfId="0" applyBorder="1" applyAlignment="1" applyProtection="1">
      <alignment horizontal="left"/>
      <protection locked="0"/>
    </xf>
    <xf numFmtId="0" fontId="1" fillId="3" borderId="5" xfId="0" applyFont="1" applyFill="1" applyBorder="1" applyAlignment="1">
      <alignment horizontal="center"/>
    </xf>
    <xf numFmtId="0" fontId="0" fillId="0" borderId="1" xfId="0" applyBorder="1" applyAlignment="1">
      <alignment horizontal="center"/>
    </xf>
    <xf numFmtId="6" fontId="0" fillId="0" borderId="6" xfId="0" applyNumberFormat="1" applyBorder="1" applyAlignment="1">
      <alignment horizontal="center" vertical="center"/>
    </xf>
    <xf numFmtId="6" fontId="0" fillId="0" borderId="0" xfId="0" applyNumberFormat="1" applyBorder="1" applyAlignment="1">
      <alignment horizontal="center" vertical="center"/>
    </xf>
    <xf numFmtId="0" fontId="0" fillId="0" borderId="0" xfId="0" applyBorder="1" applyAlignment="1">
      <alignment horizontal="center" vertical="center"/>
    </xf>
    <xf numFmtId="6" fontId="0" fillId="0" borderId="8" xfId="0" applyNumberFormat="1" applyBorder="1" applyAlignment="1">
      <alignment horizontal="center" vertical="center"/>
    </xf>
    <xf numFmtId="0" fontId="0" fillId="0" borderId="8" xfId="0" applyBorder="1" applyAlignment="1">
      <alignment horizontal="center" vertical="center"/>
    </xf>
    <xf numFmtId="6" fontId="0" fillId="0" borderId="7" xfId="0" applyNumberFormat="1" applyBorder="1" applyAlignment="1">
      <alignment horizontal="center" vertical="center"/>
    </xf>
    <xf numFmtId="6" fontId="0" fillId="0" borderId="4" xfId="0" applyNumberFormat="1" applyBorder="1" applyAlignment="1">
      <alignment horizontal="center" vertical="center"/>
    </xf>
    <xf numFmtId="6" fontId="0" fillId="0" borderId="9" xfId="0" applyNumberFormat="1" applyBorder="1" applyAlignment="1">
      <alignment horizontal="center" vertical="center"/>
    </xf>
    <xf numFmtId="6" fontId="0" fillId="0" borderId="0" xfId="0" applyNumberFormat="1"/>
    <xf numFmtId="0" fontId="0" fillId="0" borderId="7" xfId="0" applyFill="1" applyBorder="1" applyAlignment="1">
      <alignment horizontal="center"/>
    </xf>
    <xf numFmtId="0" fontId="0" fillId="0" borderId="9" xfId="0" applyFill="1" applyBorder="1" applyAlignment="1">
      <alignment horizontal="center"/>
    </xf>
    <xf numFmtId="0" fontId="0" fillId="0" borderId="10" xfId="0" applyBorder="1"/>
    <xf numFmtId="0" fontId="0" fillId="0" borderId="11" xfId="0" applyBorder="1"/>
    <xf numFmtId="6" fontId="0" fillId="0" borderId="6" xfId="0" applyNumberFormat="1" applyBorder="1"/>
    <xf numFmtId="6" fontId="0" fillId="0" borderId="8" xfId="0" applyNumberFormat="1" applyBorder="1"/>
    <xf numFmtId="6" fontId="0" fillId="0" borderId="7" xfId="0" applyNumberFormat="1" applyBorder="1"/>
    <xf numFmtId="6" fontId="0" fillId="0" borderId="9" xfId="0" applyNumberFormat="1" applyBorder="1"/>
    <xf numFmtId="0" fontId="0" fillId="0" borderId="5" xfId="0" applyFill="1" applyBorder="1" applyAlignment="1">
      <alignment horizontal="center"/>
    </xf>
    <xf numFmtId="0" fontId="4" fillId="0" borderId="0" xfId="0" applyFont="1" applyAlignment="1">
      <alignment horizontal="left" wrapText="1"/>
    </xf>
    <xf numFmtId="0" fontId="4" fillId="0" borderId="0" xfId="0" applyFont="1" applyAlignment="1">
      <alignment vertical="center"/>
    </xf>
    <xf numFmtId="0" fontId="0" fillId="0" borderId="4" xfId="0" applyBorder="1" applyAlignment="1" applyProtection="1">
      <alignment horizontal="left"/>
      <protection locked="0"/>
    </xf>
    <xf numFmtId="6" fontId="0" fillId="0" borderId="3" xfId="0" applyNumberFormat="1" applyBorder="1" applyAlignment="1" applyProtection="1">
      <alignment horizontal="left"/>
      <protection locked="0"/>
    </xf>
    <xf numFmtId="38" fontId="0" fillId="0" borderId="12" xfId="0" applyNumberFormat="1" applyFill="1" applyBorder="1" applyAlignment="1" applyProtection="1">
      <alignment horizontal="right" vertical="center"/>
    </xf>
    <xf numFmtId="0" fontId="0" fillId="0" borderId="0" xfId="0" applyNumberFormat="1" applyAlignment="1">
      <alignment vertical="center"/>
    </xf>
    <xf numFmtId="164" fontId="1" fillId="0" borderId="2" xfId="0" applyNumberFormat="1" applyFont="1" applyBorder="1" applyAlignment="1">
      <alignment vertical="center"/>
    </xf>
    <xf numFmtId="0" fontId="2" fillId="0" borderId="0" xfId="0" applyFont="1" applyAlignment="1">
      <alignment horizontal="left" vertical="top" wrapText="1"/>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vertical="center"/>
    </xf>
    <xf numFmtId="0" fontId="0" fillId="0" borderId="4" xfId="0" applyBorder="1" applyAlignment="1" applyProtection="1">
      <alignment horizontal="left"/>
      <protection locked="0"/>
    </xf>
    <xf numFmtId="0" fontId="0" fillId="0" borderId="3" xfId="0" applyBorder="1" applyAlignment="1" applyProtection="1">
      <alignment horizontal="left"/>
      <protection locked="0"/>
    </xf>
    <xf numFmtId="0" fontId="4" fillId="0" borderId="0" xfId="0" applyFont="1" applyBorder="1" applyAlignment="1">
      <alignment horizontal="left" wrapText="1"/>
    </xf>
    <xf numFmtId="0" fontId="0" fillId="0" borderId="0" xfId="0" applyAlignment="1">
      <alignment horizontal="left" wrapText="1"/>
    </xf>
    <xf numFmtId="0" fontId="0"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G46"/>
  <sheetViews>
    <sheetView tabSelected="1" workbookViewId="0">
      <selection sqref="A1:E1"/>
    </sheetView>
  </sheetViews>
  <sheetFormatPr defaultRowHeight="14.4" x14ac:dyDescent="0.3"/>
  <cols>
    <col min="1" max="1" width="15.109375" customWidth="1"/>
    <col min="2" max="3" width="41.6640625" customWidth="1"/>
    <col min="4" max="4" width="50.33203125" customWidth="1"/>
    <col min="5" max="5" width="15.88671875" customWidth="1"/>
    <col min="6" max="6" width="8.88671875" customWidth="1"/>
    <col min="7" max="7" width="13.6640625" hidden="1" customWidth="1"/>
    <col min="8" max="11" width="9.33203125" hidden="1" customWidth="1"/>
    <col min="12" max="12" width="9.109375" hidden="1" customWidth="1"/>
    <col min="13" max="13" width="12.88671875" hidden="1" customWidth="1"/>
    <col min="14" max="14" width="11.88671875" hidden="1" customWidth="1"/>
    <col min="15" max="15" width="8.88671875" customWidth="1"/>
  </cols>
  <sheetData>
    <row r="1" spans="1:33" ht="21" x14ac:dyDescent="0.4">
      <c r="A1" s="62" t="s">
        <v>62</v>
      </c>
      <c r="B1" s="62"/>
      <c r="C1" s="62"/>
      <c r="D1" s="62"/>
      <c r="E1" s="62"/>
    </row>
    <row r="2" spans="1:33" ht="15.6" x14ac:dyDescent="0.3">
      <c r="A2" s="63" t="s">
        <v>83</v>
      </c>
      <c r="B2" s="63"/>
      <c r="C2" s="63"/>
      <c r="D2" s="63"/>
      <c r="E2" s="63"/>
      <c r="AG2" t="s">
        <v>36</v>
      </c>
    </row>
    <row r="3" spans="1:33" ht="14.25" customHeight="1" x14ac:dyDescent="0.3">
      <c r="A3" s="20"/>
      <c r="B3" s="20"/>
      <c r="C3" s="20"/>
      <c r="D3" s="20"/>
      <c r="E3" s="20"/>
      <c r="AG3" t="s">
        <v>37</v>
      </c>
    </row>
    <row r="4" spans="1:33" ht="62.25" customHeight="1" x14ac:dyDescent="0.3">
      <c r="A4" s="58" t="s">
        <v>80</v>
      </c>
      <c r="B4" s="58"/>
      <c r="C4" s="58"/>
      <c r="D4" s="58"/>
      <c r="E4" s="58"/>
    </row>
    <row r="5" spans="1:33" ht="12.75" customHeight="1" x14ac:dyDescent="0.3">
      <c r="A5" s="21"/>
      <c r="B5" s="21"/>
      <c r="C5" s="21"/>
      <c r="D5" s="21"/>
      <c r="E5" s="21"/>
    </row>
    <row r="6" spans="1:33" ht="30" customHeight="1" x14ac:dyDescent="0.3">
      <c r="A6" s="59" t="s">
        <v>81</v>
      </c>
      <c r="B6" s="60"/>
      <c r="C6" s="60"/>
      <c r="D6" s="60"/>
      <c r="E6" s="60"/>
    </row>
    <row r="7" spans="1:33" ht="13.5" customHeight="1" x14ac:dyDescent="0.3">
      <c r="A7" s="22"/>
      <c r="B7" s="22"/>
      <c r="C7" s="22"/>
      <c r="D7" s="22"/>
      <c r="E7" s="22"/>
    </row>
    <row r="8" spans="1:33" ht="31.5" customHeight="1" x14ac:dyDescent="0.3">
      <c r="A8" s="61" t="str">
        <f>"The model automatically provides a fifteen percent (15%) allowance above the predicted cost. The absolute cost maximum is "&amp;TEXT(H40,"$#,##0")&amp;"/unit for New Construction and Adaptive Reuse, or "&amp;TEXT(H41,"$#,##0")&amp;" for Acquisition/Rehab)"</f>
        <v>The model automatically provides a fifteen percent (15%) allowance above the predicted cost. The absolute cost maximum is $324,036/unit for New Construction and Adaptive Reuse, or $270,501 for Acquisition/Rehab)</v>
      </c>
      <c r="B8" s="61"/>
      <c r="C8" s="61"/>
      <c r="D8" s="61"/>
      <c r="E8" s="61"/>
    </row>
    <row r="9" spans="1:33" ht="12.75" customHeight="1" x14ac:dyDescent="0.3">
      <c r="A9" s="45"/>
      <c r="B9" s="45"/>
      <c r="C9" s="45"/>
      <c r="D9" s="45"/>
      <c r="E9" s="45"/>
    </row>
    <row r="10" spans="1:33" ht="30" customHeight="1" x14ac:dyDescent="0.3">
      <c r="A10" s="58" t="str">
        <f>"Note: Supportive Housing and projects addressing the rehabilitation of foreclosed and/or abandoned SF homes/duplexes automatically receive an additional 10% allowance above the predicted cost.  The absolute cost maximum is " &amp; TEXT((H40*1.1),"$#,##0") &amp; "/unit for New Construction &amp; Adaptive Reuse and " &amp; TEXT((H41*1.1),"$#,##0") &amp; " for Acquisition/Rehab."</f>
        <v>Note: Supportive Housing and projects addressing the rehabilitation of foreclosed and/or abandoned SF homes/duplexes automatically receive an additional 10% allowance above the predicted cost.  The absolute cost maximum is $356,440/unit for New Construction &amp; Adaptive Reuse and $297,551 for Acquisition/Rehab.</v>
      </c>
      <c r="B10" s="58"/>
      <c r="C10" s="58"/>
      <c r="D10" s="58"/>
      <c r="E10" s="58"/>
    </row>
    <row r="11" spans="1:33" ht="24" customHeight="1" x14ac:dyDescent="0.3">
      <c r="A11" s="1"/>
    </row>
    <row r="12" spans="1:33" x14ac:dyDescent="0.3">
      <c r="A12" s="52" t="s">
        <v>79</v>
      </c>
      <c r="B12" s="52"/>
      <c r="C12" s="52"/>
      <c r="D12" s="52"/>
      <c r="E12" s="52"/>
    </row>
    <row r="13" spans="1:33" x14ac:dyDescent="0.3">
      <c r="A13" s="52"/>
      <c r="B13" s="52"/>
      <c r="C13" s="52"/>
      <c r="D13" s="52"/>
      <c r="E13" s="52"/>
    </row>
    <row r="14" spans="1:33" x14ac:dyDescent="0.3">
      <c r="A14" s="4" t="s">
        <v>49</v>
      </c>
    </row>
    <row r="15" spans="1:33" x14ac:dyDescent="0.3">
      <c r="A15" s="4"/>
    </row>
    <row r="16" spans="1:33" x14ac:dyDescent="0.3">
      <c r="A16" t="s">
        <v>48</v>
      </c>
      <c r="B16" s="56"/>
      <c r="C16" s="56"/>
      <c r="D16" s="56"/>
    </row>
    <row r="17" spans="1:14" x14ac:dyDescent="0.3">
      <c r="A17" t="s">
        <v>50</v>
      </c>
      <c r="B17" s="57"/>
      <c r="C17" s="57"/>
      <c r="D17" s="57"/>
    </row>
    <row r="18" spans="1:14" x14ac:dyDescent="0.3">
      <c r="A18" t="s">
        <v>63</v>
      </c>
      <c r="B18" s="24"/>
      <c r="D18" s="47">
        <v>0</v>
      </c>
    </row>
    <row r="19" spans="1:14" x14ac:dyDescent="0.3">
      <c r="A19" t="s">
        <v>66</v>
      </c>
      <c r="B19" s="24"/>
      <c r="D19" s="23">
        <v>0</v>
      </c>
    </row>
    <row r="20" spans="1:14" x14ac:dyDescent="0.3">
      <c r="A20" t="s">
        <v>67</v>
      </c>
      <c r="B20" s="24"/>
      <c r="D20" s="23">
        <v>0</v>
      </c>
    </row>
    <row r="21" spans="1:14" x14ac:dyDescent="0.3">
      <c r="A21" t="s">
        <v>74</v>
      </c>
      <c r="B21" s="24"/>
      <c r="D21" s="48">
        <v>0</v>
      </c>
    </row>
    <row r="22" spans="1:14" x14ac:dyDescent="0.3">
      <c r="A22" t="s">
        <v>78</v>
      </c>
      <c r="B22" s="24"/>
      <c r="D22" s="48">
        <v>0</v>
      </c>
    </row>
    <row r="23" spans="1:14" x14ac:dyDescent="0.3">
      <c r="G23" s="25" t="s">
        <v>69</v>
      </c>
      <c r="H23" s="26" t="s">
        <v>64</v>
      </c>
      <c r="I23" s="16" t="s">
        <v>68</v>
      </c>
      <c r="J23" s="17" t="s">
        <v>65</v>
      </c>
    </row>
    <row r="24" spans="1:14" s="2" customFormat="1" ht="18" customHeight="1" x14ac:dyDescent="0.3">
      <c r="A24" s="6" t="s">
        <v>26</v>
      </c>
      <c r="B24" s="55" t="s">
        <v>44</v>
      </c>
      <c r="C24" s="55"/>
      <c r="D24" s="55"/>
      <c r="E24" s="9" t="s">
        <v>37</v>
      </c>
      <c r="G24" s="27">
        <f>IF(E24="yes",45579,0)</f>
        <v>0</v>
      </c>
      <c r="H24" s="28"/>
      <c r="I24" s="29"/>
      <c r="J24" s="30"/>
    </row>
    <row r="25" spans="1:14" s="2" customFormat="1" ht="18" customHeight="1" x14ac:dyDescent="0.3">
      <c r="A25" s="6" t="s">
        <v>27</v>
      </c>
      <c r="B25" s="55" t="s">
        <v>45</v>
      </c>
      <c r="C25" s="55"/>
      <c r="D25" s="55"/>
      <c r="E25" s="9" t="s">
        <v>37</v>
      </c>
      <c r="G25" s="27">
        <f>IF(E25="yes",45880,0)</f>
        <v>0</v>
      </c>
      <c r="H25" s="28"/>
      <c r="I25" s="29"/>
      <c r="J25" s="30"/>
    </row>
    <row r="26" spans="1:14" s="2" customFormat="1" ht="18" customHeight="1" x14ac:dyDescent="0.3">
      <c r="A26" s="6" t="s">
        <v>28</v>
      </c>
      <c r="B26" s="55" t="s">
        <v>47</v>
      </c>
      <c r="C26" s="55"/>
      <c r="D26" s="55"/>
      <c r="E26" s="9" t="s">
        <v>37</v>
      </c>
      <c r="G26" s="27">
        <f>IF(E26="yes",7995,0)</f>
        <v>0</v>
      </c>
      <c r="H26" s="28"/>
      <c r="I26" s="29"/>
      <c r="J26" s="30"/>
    </row>
    <row r="27" spans="1:14" s="2" customFormat="1" ht="18" customHeight="1" x14ac:dyDescent="0.3">
      <c r="A27" s="6" t="s">
        <v>29</v>
      </c>
      <c r="B27" s="55" t="s">
        <v>46</v>
      </c>
      <c r="C27" s="55"/>
      <c r="D27" s="55"/>
      <c r="E27" s="9" t="s">
        <v>37</v>
      </c>
      <c r="G27" s="27">
        <f>IF(E27="yes",39066,0)</f>
        <v>0</v>
      </c>
      <c r="H27" s="28"/>
      <c r="I27" s="29"/>
      <c r="J27" s="30"/>
    </row>
    <row r="28" spans="1:14" s="2" customFormat="1" ht="18" customHeight="1" x14ac:dyDescent="0.3">
      <c r="A28" s="6" t="s">
        <v>30</v>
      </c>
      <c r="B28" s="55" t="s">
        <v>75</v>
      </c>
      <c r="C28" s="55"/>
      <c r="D28" s="55"/>
      <c r="E28" s="9" t="s">
        <v>37</v>
      </c>
      <c r="G28" s="27">
        <f>IF(E28="yes",78012,0)</f>
        <v>0</v>
      </c>
      <c r="H28" s="28" t="e">
        <f>G28*(D19/E36)</f>
        <v>#DIV/0!</v>
      </c>
      <c r="I28" s="28"/>
      <c r="J28" s="30"/>
    </row>
    <row r="29" spans="1:14" s="2" customFormat="1" ht="18" customHeight="1" x14ac:dyDescent="0.3">
      <c r="A29" s="6" t="s">
        <v>31</v>
      </c>
      <c r="B29" s="55" t="s">
        <v>76</v>
      </c>
      <c r="C29" s="55"/>
      <c r="D29" s="55"/>
      <c r="E29" s="9" t="s">
        <v>37</v>
      </c>
      <c r="G29" s="27">
        <f>IF(E29="yes",78317,0)</f>
        <v>0</v>
      </c>
      <c r="H29" s="28"/>
      <c r="I29" s="28" t="e">
        <f>G29*(D20/E36)</f>
        <v>#DIV/0!</v>
      </c>
      <c r="J29" s="30"/>
      <c r="N29" s="7"/>
    </row>
    <row r="30" spans="1:14" s="2" customFormat="1" ht="18" customHeight="1" x14ac:dyDescent="0.3">
      <c r="A30" s="6" t="s">
        <v>32</v>
      </c>
      <c r="B30" s="55" t="s">
        <v>56</v>
      </c>
      <c r="C30" s="55"/>
      <c r="D30" s="55"/>
      <c r="E30" s="9" t="s">
        <v>37</v>
      </c>
      <c r="G30" s="27">
        <f>IF(E30="yes",25769,0)</f>
        <v>0</v>
      </c>
      <c r="H30" s="28"/>
      <c r="I30" s="28"/>
      <c r="J30" s="30" t="e">
        <f>G30*(D18/E36)</f>
        <v>#DIV/0!</v>
      </c>
    </row>
    <row r="31" spans="1:14" s="2" customFormat="1" ht="18" customHeight="1" x14ac:dyDescent="0.3">
      <c r="A31" s="6" t="s">
        <v>33</v>
      </c>
      <c r="B31" s="55" t="s">
        <v>55</v>
      </c>
      <c r="C31" s="55"/>
      <c r="D31" s="55"/>
      <c r="E31" s="9" t="s">
        <v>37</v>
      </c>
      <c r="G31" s="27">
        <f>IF(E31="yes",67297,0)</f>
        <v>0</v>
      </c>
      <c r="H31" s="28"/>
      <c r="I31" s="28"/>
      <c r="J31" s="30" t="e">
        <f>G31*(D18/E36)</f>
        <v>#DIV/0!</v>
      </c>
    </row>
    <row r="32" spans="1:14" s="2" customFormat="1" ht="18" customHeight="1" x14ac:dyDescent="0.3">
      <c r="A32" s="6" t="s">
        <v>34</v>
      </c>
      <c r="B32" s="55" t="s">
        <v>39</v>
      </c>
      <c r="C32" s="55"/>
      <c r="D32" s="55"/>
      <c r="E32" s="9" t="s">
        <v>37</v>
      </c>
      <c r="G32" s="27"/>
      <c r="H32" s="29"/>
      <c r="I32" s="29"/>
      <c r="J32" s="31"/>
    </row>
    <row r="33" spans="1:14" s="2" customFormat="1" ht="18" customHeight="1" x14ac:dyDescent="0.3">
      <c r="A33" s="6" t="s">
        <v>35</v>
      </c>
      <c r="B33" s="55" t="s">
        <v>40</v>
      </c>
      <c r="C33" s="55"/>
      <c r="D33" s="55"/>
      <c r="E33" s="9" t="s">
        <v>37</v>
      </c>
      <c r="G33" s="27"/>
      <c r="H33" s="29"/>
      <c r="I33" s="29"/>
      <c r="J33" s="31"/>
    </row>
    <row r="34" spans="1:14" s="2" customFormat="1" ht="18" customHeight="1" x14ac:dyDescent="0.3">
      <c r="A34" s="6" t="s">
        <v>41</v>
      </c>
      <c r="B34" s="55" t="s">
        <v>0</v>
      </c>
      <c r="C34" s="55"/>
      <c r="D34" s="55"/>
      <c r="E34" s="9" t="s">
        <v>37</v>
      </c>
      <c r="G34" s="27">
        <f>IF(E34="yes",32412,0)</f>
        <v>0</v>
      </c>
      <c r="H34" s="28"/>
      <c r="I34" s="29"/>
      <c r="J34" s="30"/>
    </row>
    <row r="35" spans="1:14" s="2" customFormat="1" ht="18" customHeight="1" x14ac:dyDescent="0.3">
      <c r="A35" s="6" t="s">
        <v>42</v>
      </c>
      <c r="B35" s="55" t="s">
        <v>54</v>
      </c>
      <c r="C35" s="55"/>
      <c r="D35" s="55"/>
      <c r="E35" s="10">
        <v>0</v>
      </c>
      <c r="G35" s="27"/>
      <c r="H35" s="29"/>
      <c r="I35" s="29"/>
      <c r="J35" s="31"/>
    </row>
    <row r="36" spans="1:14" s="2" customFormat="1" ht="18" customHeight="1" x14ac:dyDescent="0.3">
      <c r="A36" s="6" t="s">
        <v>51</v>
      </c>
      <c r="B36" s="55" t="s">
        <v>52</v>
      </c>
      <c r="C36" s="55"/>
      <c r="D36" s="55"/>
      <c r="E36" s="49">
        <f>D18+D19+D20</f>
        <v>0</v>
      </c>
      <c r="G36" s="32" t="e">
        <f>(E35/E36)*36.7</f>
        <v>#DIV/0!</v>
      </c>
      <c r="H36" s="33"/>
      <c r="I36" s="33"/>
      <c r="J36" s="34"/>
    </row>
    <row r="38" spans="1:14" ht="18" customHeight="1" x14ac:dyDescent="0.3">
      <c r="B38" s="2" t="s">
        <v>38</v>
      </c>
      <c r="C38" s="2"/>
      <c r="D38" s="2"/>
      <c r="E38" s="50" t="e">
        <f>(SUM(G24:G27,H28:J31,G34,G36)+34535+(4371*9))*1.04</f>
        <v>#DIV/0!</v>
      </c>
      <c r="M38" s="53" t="s">
        <v>71</v>
      </c>
      <c r="N38" s="54"/>
    </row>
    <row r="39" spans="1:14" ht="18" customHeight="1" x14ac:dyDescent="0.3">
      <c r="B39" s="2" t="s">
        <v>82</v>
      </c>
      <c r="C39" s="2"/>
      <c r="D39" s="2"/>
      <c r="E39" s="8" t="e">
        <f>E38*0.3</f>
        <v>#DIV/0!</v>
      </c>
      <c r="G39" s="15"/>
      <c r="H39" s="16" t="s">
        <v>57</v>
      </c>
      <c r="I39" s="16" t="s">
        <v>60</v>
      </c>
      <c r="J39" s="16" t="s">
        <v>70</v>
      </c>
      <c r="K39" s="17" t="s">
        <v>61</v>
      </c>
      <c r="L39" s="44" t="s">
        <v>72</v>
      </c>
      <c r="M39" s="36" t="s">
        <v>70</v>
      </c>
      <c r="N39" s="37" t="s">
        <v>61</v>
      </c>
    </row>
    <row r="40" spans="1:14" ht="18" customHeight="1" x14ac:dyDescent="0.3">
      <c r="B40" t="s">
        <v>73</v>
      </c>
      <c r="E40" s="35" t="e">
        <f>E38+E39</f>
        <v>#DIV/0!</v>
      </c>
      <c r="G40" s="11" t="s">
        <v>58</v>
      </c>
      <c r="H40" s="12">
        <f>(((251327*1.03*1.07*1.04)*1.04)*1.04)*1.04</f>
        <v>324036.18232888123</v>
      </c>
      <c r="I40" s="12">
        <f>((((131127*1.03*1.07*1.04)*1.04)*1.04)*1.04)</f>
        <v>169062.18782796597</v>
      </c>
      <c r="J40" s="12" t="e">
        <f>E38+E39</f>
        <v>#DIV/0!</v>
      </c>
      <c r="K40" s="18" t="e">
        <f>IF(J40&gt;H40,H40,IF(J40&lt;I40,I40,J40))</f>
        <v>#DIV/0!</v>
      </c>
      <c r="L40" s="38" t="e">
        <f>(D19+D20)/E36</f>
        <v>#DIV/0!</v>
      </c>
      <c r="M40" s="40" t="e">
        <f>J40*L40</f>
        <v>#DIV/0!</v>
      </c>
      <c r="N40" s="41" t="e">
        <f>K40*L40</f>
        <v>#DIV/0!</v>
      </c>
    </row>
    <row r="41" spans="1:14" x14ac:dyDescent="0.3">
      <c r="G41" s="13" t="s">
        <v>59</v>
      </c>
      <c r="H41" s="14">
        <f>(((209804*1.03*1.07*1.04)*1.04)*1.04)*1.04</f>
        <v>270500.53196564072</v>
      </c>
      <c r="I41" s="14">
        <f>(((74305*1.03*1.07*1.04)*1.04)*1.04)*1.04</f>
        <v>95801.519645511697</v>
      </c>
      <c r="J41" s="14" t="e">
        <f>E38+E39</f>
        <v>#DIV/0!</v>
      </c>
      <c r="K41" s="19" t="e">
        <f>IF(J41&gt;H41,H41,IF(J41&lt;I41,I41,J41))</f>
        <v>#DIV/0!</v>
      </c>
      <c r="L41" s="39" t="e">
        <f>1-L40</f>
        <v>#DIV/0!</v>
      </c>
      <c r="M41" s="42" t="e">
        <f>J41*L41</f>
        <v>#DIV/0!</v>
      </c>
      <c r="N41" s="43" t="e">
        <f>K41*L41</f>
        <v>#DIV/0!</v>
      </c>
    </row>
    <row r="42" spans="1:14" ht="18" customHeight="1" x14ac:dyDescent="0.3">
      <c r="B42" s="46" t="str">
        <f>"Adjusted Cost Limit (not to exceed "&amp; TEXT(H40,"$#,##0") &amp; " per-unit for New Construction and Adaptive Reuse, or " &amp; TEXT(H41,"$#,##0") &amp; " for Acquisition/Rehab)"</f>
        <v>Adjusted Cost Limit (not to exceed $324,036 per-unit for New Construction and Adaptive Reuse, or $270,501 for Acquisition/Rehab)</v>
      </c>
      <c r="C42" s="2"/>
      <c r="D42" s="2"/>
      <c r="E42" s="7" t="e">
        <f>N42</f>
        <v>#DIV/0!</v>
      </c>
      <c r="J42" s="35"/>
      <c r="M42" s="35" t="e">
        <f>M40+M41</f>
        <v>#DIV/0!</v>
      </c>
      <c r="N42" s="35" t="e">
        <f>N40+N41</f>
        <v>#DIV/0!</v>
      </c>
    </row>
    <row r="43" spans="1:14" x14ac:dyDescent="0.3">
      <c r="B43" s="2"/>
      <c r="C43" s="2"/>
      <c r="D43" s="2"/>
      <c r="E43" s="7"/>
      <c r="H43" s="35"/>
      <c r="I43" s="35"/>
      <c r="K43" s="35"/>
    </row>
    <row r="44" spans="1:14" s="2" customFormat="1" ht="24" customHeight="1" x14ac:dyDescent="0.3">
      <c r="B44" s="2" t="s">
        <v>53</v>
      </c>
      <c r="E44" s="7">
        <f>IF(OR(E32="Yes",E33="Yes"),E42*0.1,0)</f>
        <v>0</v>
      </c>
      <c r="H44" s="35"/>
      <c r="I44" s="35"/>
      <c r="K44" s="7"/>
    </row>
    <row r="46" spans="1:14" x14ac:dyDescent="0.3">
      <c r="B46" s="3" t="s">
        <v>43</v>
      </c>
      <c r="C46" s="5"/>
      <c r="D46" s="5"/>
      <c r="E46" s="51" t="e">
        <f>E42+E44</f>
        <v>#DIV/0!</v>
      </c>
    </row>
  </sheetData>
  <dataConsolidate/>
  <mergeCells count="23">
    <mergeCell ref="A1:E1"/>
    <mergeCell ref="A2:E2"/>
    <mergeCell ref="B17:D17"/>
    <mergeCell ref="A4:E4"/>
    <mergeCell ref="A6:E6"/>
    <mergeCell ref="A8:E8"/>
    <mergeCell ref="A10:E10"/>
    <mergeCell ref="A12:E13"/>
    <mergeCell ref="M38:N38"/>
    <mergeCell ref="B34:D34"/>
    <mergeCell ref="B36:D36"/>
    <mergeCell ref="B35:D35"/>
    <mergeCell ref="B28:D28"/>
    <mergeCell ref="B29:D29"/>
    <mergeCell ref="B30:D30"/>
    <mergeCell ref="B31:D31"/>
    <mergeCell ref="B32:D32"/>
    <mergeCell ref="B33:D33"/>
    <mergeCell ref="B27:D27"/>
    <mergeCell ref="B24:D24"/>
    <mergeCell ref="B25:D25"/>
    <mergeCell ref="B26:D26"/>
    <mergeCell ref="B16:D16"/>
  </mergeCells>
  <dataValidations count="1">
    <dataValidation type="list" allowBlank="1" showInputMessage="1" showErrorMessage="1" sqref="E24:E34" xr:uid="{00000000-0002-0000-0000-000000000000}">
      <formula1>$AG$2:$AG$3</formula1>
    </dataValidation>
  </dataValidations>
  <pageMargins left="0.7" right="0.7" top="0.75" bottom="0.75" header="0.3" footer="0.3"/>
  <pageSetup scale="61" orientation="landscape" r:id="rId1"/>
  <headerFooter>
    <oddFooter xml:space="preserve">&amp;L&amp;10Revised: 9/19/2013&amp;11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15"/>
  <sheetViews>
    <sheetView workbookViewId="0"/>
  </sheetViews>
  <sheetFormatPr defaultRowHeight="14.4" x14ac:dyDescent="0.3"/>
  <cols>
    <col min="1" max="1" width="17.6640625" customWidth="1"/>
    <col min="2" max="2" width="4" customWidth="1"/>
    <col min="3" max="3" width="17.6640625" customWidth="1"/>
  </cols>
  <sheetData>
    <row r="1" spans="1:3" x14ac:dyDescent="0.3">
      <c r="A1" s="1" t="s">
        <v>77</v>
      </c>
    </row>
    <row r="3" spans="1:3" x14ac:dyDescent="0.3">
      <c r="A3" t="s">
        <v>9</v>
      </c>
      <c r="C3" t="s">
        <v>23</v>
      </c>
    </row>
    <row r="4" spans="1:3" x14ac:dyDescent="0.3">
      <c r="A4" t="s">
        <v>12</v>
      </c>
      <c r="C4" t="s">
        <v>11</v>
      </c>
    </row>
    <row r="5" spans="1:3" x14ac:dyDescent="0.3">
      <c r="A5" t="s">
        <v>5</v>
      </c>
      <c r="C5" t="s">
        <v>22</v>
      </c>
    </row>
    <row r="6" spans="1:3" x14ac:dyDescent="0.3">
      <c r="A6" t="s">
        <v>18</v>
      </c>
      <c r="C6" t="s">
        <v>2</v>
      </c>
    </row>
    <row r="7" spans="1:3" x14ac:dyDescent="0.3">
      <c r="A7" t="s">
        <v>17</v>
      </c>
      <c r="C7" t="s">
        <v>25</v>
      </c>
    </row>
    <row r="8" spans="1:3" x14ac:dyDescent="0.3">
      <c r="A8" t="s">
        <v>1</v>
      </c>
      <c r="C8" t="s">
        <v>19</v>
      </c>
    </row>
    <row r="9" spans="1:3" x14ac:dyDescent="0.3">
      <c r="A9" t="s">
        <v>4</v>
      </c>
      <c r="C9" t="s">
        <v>8</v>
      </c>
    </row>
    <row r="10" spans="1:3" x14ac:dyDescent="0.3">
      <c r="A10" t="s">
        <v>14</v>
      </c>
      <c r="C10" t="s">
        <v>15</v>
      </c>
    </row>
    <row r="11" spans="1:3" x14ac:dyDescent="0.3">
      <c r="A11" t="s">
        <v>16</v>
      </c>
      <c r="C11" t="s">
        <v>3</v>
      </c>
    </row>
    <row r="12" spans="1:3" x14ac:dyDescent="0.3">
      <c r="A12" t="s">
        <v>24</v>
      </c>
      <c r="C12" t="s">
        <v>20</v>
      </c>
    </row>
    <row r="13" spans="1:3" x14ac:dyDescent="0.3">
      <c r="A13" t="s">
        <v>10</v>
      </c>
      <c r="C13" t="s">
        <v>21</v>
      </c>
    </row>
    <row r="14" spans="1:3" x14ac:dyDescent="0.3">
      <c r="A14" t="s">
        <v>7</v>
      </c>
      <c r="C14" t="s">
        <v>13</v>
      </c>
    </row>
    <row r="15" spans="1:3" x14ac:dyDescent="0.3">
      <c r="A15" t="s">
        <v>6</v>
      </c>
    </row>
  </sheetData>
  <sheetProtection password="C092"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Cost Model</vt:lpstr>
      <vt:lpstr>Metro Counties</vt:lpstr>
      <vt:lpstr>'Cost Model'!Print_Area</vt:lpstr>
    </vt:vector>
  </TitlesOfParts>
  <Company>WHEDA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Ginger</dc:creator>
  <cp:lastModifiedBy>Emily Z. Francis</cp:lastModifiedBy>
  <cp:lastPrinted>2018-09-27T19:34:42Z</cp:lastPrinted>
  <dcterms:created xsi:type="dcterms:W3CDTF">2012-09-11T14:01:19Z</dcterms:created>
  <dcterms:modified xsi:type="dcterms:W3CDTF">2021-08-20T15:35:14Z</dcterms:modified>
</cp:coreProperties>
</file>