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\CREDIT\LIHTC\2020 Program\appendices\drafts\"/>
    </mc:Choice>
  </mc:AlternateContent>
  <xr:revisionPtr revIDLastSave="0" documentId="13_ncr:1_{0FB51D49-8709-419C-A6CA-906C1687C055}" xr6:coauthVersionLast="44" xr6:coauthVersionMax="44" xr10:uidLastSave="{00000000-0000-0000-0000-000000000000}"/>
  <workbookProtection workbookPassword="C092" lockStructure="1"/>
  <bookViews>
    <workbookView xWindow="-120" yWindow="-120" windowWidth="29040" windowHeight="15840" xr2:uid="{00000000-000D-0000-FFFF-FFFF00000000}"/>
  </bookViews>
  <sheets>
    <sheet name="Cost Model" sheetId="1" r:id="rId1"/>
    <sheet name="Metro Counties" sheetId="2" r:id="rId2"/>
  </sheets>
  <definedNames>
    <definedName name="_xlnm.Print_Area" localSheetId="0">'Cost Model'!$A$1:$E$46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H41" i="1"/>
  <c r="I40" i="1"/>
  <c r="H40" i="1"/>
  <c r="E38" i="1"/>
  <c r="A10" i="1" l="1"/>
  <c r="G24" i="1"/>
  <c r="G25" i="1"/>
  <c r="G26" i="1"/>
  <c r="G27" i="1"/>
  <c r="G28" i="1"/>
  <c r="G29" i="1"/>
  <c r="G30" i="1"/>
  <c r="G31" i="1"/>
  <c r="G34" i="1"/>
  <c r="E36" i="1"/>
  <c r="G36" i="1" s="1"/>
  <c r="L40" i="1" l="1"/>
  <c r="L41" i="1" s="1"/>
  <c r="H28" i="1"/>
  <c r="E39" i="1" s="1"/>
  <c r="J31" i="1"/>
  <c r="J30" i="1"/>
  <c r="I29" i="1"/>
  <c r="A8" i="1"/>
  <c r="B42" i="1"/>
  <c r="E40" i="1" l="1"/>
  <c r="J40" i="1"/>
  <c r="M40" i="1" s="1"/>
  <c r="J41" i="1"/>
  <c r="M41" i="1" s="1"/>
  <c r="K41" i="1" l="1"/>
  <c r="N41" i="1" s="1"/>
  <c r="K40" i="1"/>
  <c r="N40" i="1" s="1"/>
  <c r="M42" i="1"/>
  <c r="N42" i="1" l="1"/>
  <c r="E42" i="1" s="1"/>
  <c r="E44" i="1"/>
  <c r="E46" i="1" s="1"/>
</calcChain>
</file>

<file path=xl/sharedStrings.xml><?xml version="1.0" encoding="utf-8"?>
<sst xmlns="http://schemas.openxmlformats.org/spreadsheetml/2006/main" count="96" uniqueCount="83">
  <si>
    <t>Does this development primarily contain single-family homes and duplexes?</t>
  </si>
  <si>
    <t>Douglas</t>
  </si>
  <si>
    <t>Pierce</t>
  </si>
  <si>
    <t>St. Croix</t>
  </si>
  <si>
    <t>Eau Claire</t>
  </si>
  <si>
    <t>Chippewa</t>
  </si>
  <si>
    <t>Marathon</t>
  </si>
  <si>
    <t>La Crosse</t>
  </si>
  <si>
    <t>Shawano</t>
  </si>
  <si>
    <t>Brown</t>
  </si>
  <si>
    <t>Kewaunee</t>
  </si>
  <si>
    <t>Outagamie</t>
  </si>
  <si>
    <t>Calumet</t>
  </si>
  <si>
    <t>Winnebago</t>
  </si>
  <si>
    <t>Fond du Lac</t>
  </si>
  <si>
    <t>Sheboygan</t>
  </si>
  <si>
    <t>Iowa</t>
  </si>
  <si>
    <t>Dane</t>
  </si>
  <si>
    <t>Columbia</t>
  </si>
  <si>
    <t>Rock</t>
  </si>
  <si>
    <t>Washington</t>
  </si>
  <si>
    <t>Waukesha</t>
  </si>
  <si>
    <t>Ozaukee</t>
  </si>
  <si>
    <t>Milwaukee</t>
  </si>
  <si>
    <t>Kenosha</t>
  </si>
  <si>
    <t>Racine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</si>
  <si>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</si>
  <si>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</si>
  <si>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</si>
  <si>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</si>
  <si>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</si>
  <si>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</si>
  <si>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</si>
  <si>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</si>
  <si>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</si>
  <si>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</si>
  <si>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Yes</t>
  </si>
  <si>
    <t>No</t>
  </si>
  <si>
    <t>Calculated Cost Limit</t>
  </si>
  <si>
    <t>15% Allowance</t>
  </si>
  <si>
    <t>Does this development primarily contain supportive housing units?</t>
  </si>
  <si>
    <t>Does this development primarily address the rehabilitation of foreclosed or abandoned single family homes or duplexes?</t>
  </si>
  <si>
    <t>K</t>
  </si>
  <si>
    <t>L</t>
  </si>
  <si>
    <t>Maximum Per-Unit Cost for this Development</t>
  </si>
  <si>
    <t>Is the development located in the City of Milwaukee?</t>
  </si>
  <si>
    <t>Is the development located in the City of Madison?</t>
  </si>
  <si>
    <t>Is the development located on Wisconsin Tribal Lands?</t>
  </si>
  <si>
    <t>Is the development located in one of the metropolitan counties listed on the Metro Counties page (excluding Milwaukee and Madison)?</t>
  </si>
  <si>
    <t>Name:</t>
  </si>
  <si>
    <t>Submit a printed copy of this document with your LIHTC application</t>
  </si>
  <si>
    <t>Application #:</t>
  </si>
  <si>
    <t>M</t>
  </si>
  <si>
    <t>Total number of units in this development</t>
  </si>
  <si>
    <t>Allowance for supportive housing developments and those addressing foreclosed/abandoned homes</t>
  </si>
  <si>
    <t>Gross square feet in this development</t>
  </si>
  <si>
    <t>Is this a rehabilitation development with per per-unit rehabilitation costs in excess of $50,000?</t>
  </si>
  <si>
    <t>Is this a rehabilitation development with per per-unit rehabilitation costs between $25,000 and $50,000?</t>
  </si>
  <si>
    <t>Max Cost</t>
  </si>
  <si>
    <t>NC - Ad Reuse</t>
  </si>
  <si>
    <t>Acq Rehab</t>
  </si>
  <si>
    <t>Min Cost</t>
  </si>
  <si>
    <t>Limit</t>
  </si>
  <si>
    <t>Appendix F</t>
  </si>
  <si>
    <t>Number of Acquisition-Rehab Units:</t>
  </si>
  <si>
    <t>NC</t>
  </si>
  <si>
    <t>A/R</t>
  </si>
  <si>
    <t>Number of New Construction Units:</t>
  </si>
  <si>
    <t>Number of Adaptive Reuse Units:</t>
  </si>
  <si>
    <t>Ad Reuse</t>
  </si>
  <si>
    <t>Calcualtions</t>
  </si>
  <si>
    <t>Calc Amt</t>
  </si>
  <si>
    <t>Weighted</t>
  </si>
  <si>
    <t>% Units</t>
  </si>
  <si>
    <t>Subtotal</t>
  </si>
  <si>
    <t xml:space="preserve">The model is based on historical data from Wisconsin’s LIHTC program and uses regression modeling with combinations of variables listed below to predict costs.  A development is limited to the Maximum Per-Unit Cost calculated below.  </t>
  </si>
  <si>
    <t>Insert development name, application number, unit mix and employment-related Community Service costs immediately below, and complete the cells highlighed in yellow in column E</t>
  </si>
  <si>
    <t>Development costs attributable to emplopyment-related Community Service Facilitiy</t>
  </si>
  <si>
    <t>WHEDA limits total development cost for any one development for both LIHTC and lending.   This is a threshold item and applications exceeding the allowed maximum will be rejected.  Public housing authorities are exempt if they are the primary applicant and HOPE VI is a source of funds. Tribal housing authorities are exempt if they are the primary applicant and NAHASDA or similar funding is a source of funds.   Development costs attributable to employment-related Community Service Facilities will be excluded from the calculation of the maximum cost.</t>
  </si>
  <si>
    <t>Is this a primarily new construction development?</t>
  </si>
  <si>
    <t>Is this a primarily adaptive reuse development?</t>
  </si>
  <si>
    <r>
      <t xml:space="preserve">WHEDA Multifamily Maximum Cost Model: 2020 </t>
    </r>
    <r>
      <rPr>
        <i/>
        <sz val="12"/>
        <color indexed="8"/>
        <rFont val="Calibri"/>
        <family val="2"/>
      </rPr>
      <t>(revised 09/13/2019)</t>
    </r>
  </si>
  <si>
    <t>Wisconsin Metropolitan Counties: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</si>
</sst>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6" fontId="2" fillId="0" borderId="2" xfId="0" applyNumberFormat="1" applyFont="1" applyBorder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vertical="center"/>
    </xf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center" vertical="center"/>
    </xf>
    <xf numFmtId="6" fontId="0" fillId="0" borderId="0" xfId="0" applyNumberFormat="1" applyAlignment="1">
      <alignment vertical="center"/>
    </xf>
    <xf numFmtId="6" fontId="0" fillId="0" borderId="4" xfId="0" applyNumberFormat="1" applyBorder="1" applyAlignment="1">
      <alignment vertical="center"/>
    </xf>
    <xf numFmtId="0" fontId="0" fillId="2" borderId="5" xfId="0" applyFill="1" applyBorder="1" applyAlignment="1" applyProtection="1">
      <alignment horizontal="right" vertical="center"/>
      <protection locked="0"/>
    </xf>
    <xf numFmtId="38" fontId="0" fillId="2" borderId="5" xfId="0" applyNumberFormat="1" applyFill="1" applyBorder="1" applyAlignment="1" applyProtection="1">
      <alignment horizontal="right" vertical="center"/>
      <protection locked="0"/>
    </xf>
    <xf numFmtId="0" fontId="0" fillId="0" borderId="6" xfId="0" applyBorder="1"/>
    <xf numFmtId="6" fontId="0" fillId="0" borderId="0" xfId="0" applyNumberFormat="1" applyBorder="1" applyAlignment="1">
      <alignment horizontal="center"/>
    </xf>
    <xf numFmtId="0" fontId="0" fillId="0" borderId="7" xfId="0" applyBorder="1"/>
    <xf numFmtId="6" fontId="0" fillId="0" borderId="4" xfId="0" applyNumberForma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6" xfId="0" applyNumberFormat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6" fontId="0" fillId="0" borderId="9" xfId="0" applyNumberFormat="1" applyBorder="1" applyAlignment="1">
      <alignment horizontal="center" vertical="center"/>
    </xf>
    <xf numFmtId="6" fontId="0" fillId="0" borderId="0" xfId="0" applyNumberFormat="1"/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6" fontId="0" fillId="0" borderId="6" xfId="0" applyNumberFormat="1" applyBorder="1"/>
    <xf numFmtId="6" fontId="0" fillId="0" borderId="8" xfId="0" applyNumberFormat="1" applyBorder="1"/>
    <xf numFmtId="6" fontId="0" fillId="0" borderId="7" xfId="0" applyNumberFormat="1" applyBorder="1"/>
    <xf numFmtId="6" fontId="0" fillId="0" borderId="9" xfId="0" applyNumberFormat="1" applyBorder="1"/>
    <xf numFmtId="0" fontId="0" fillId="0" borderId="5" xfId="0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0" fillId="0" borderId="4" xfId="0" applyBorder="1" applyAlignment="1" applyProtection="1">
      <alignment horizontal="left"/>
      <protection locked="0"/>
    </xf>
    <xf numFmtId="6" fontId="0" fillId="0" borderId="3" xfId="0" applyNumberFormat="1" applyBorder="1" applyAlignment="1" applyProtection="1">
      <alignment horizontal="left"/>
      <protection locked="0"/>
    </xf>
    <xf numFmtId="38" fontId="0" fillId="0" borderId="12" xfId="0" applyNumberFormat="1" applyFill="1" applyBorder="1" applyAlignment="1" applyProtection="1">
      <alignment horizontal="right"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G46"/>
  <sheetViews>
    <sheetView tabSelected="1" workbookViewId="0">
      <selection activeCell="G19" sqref="G1:N1048576"/>
    </sheetView>
  </sheetViews>
  <sheetFormatPr defaultRowHeight="15" x14ac:dyDescent="0.25"/>
  <cols>
    <col min="1" max="1" width="15.140625" customWidth="1"/>
    <col min="2" max="3" width="41.7109375" customWidth="1"/>
    <col min="4" max="4" width="50.28515625" customWidth="1"/>
    <col min="5" max="5" width="15.85546875" customWidth="1"/>
    <col min="7" max="7" width="13.7109375" hidden="1" customWidth="1"/>
    <col min="8" max="11" width="9.28515625" hidden="1" customWidth="1"/>
    <col min="12" max="12" width="9.140625" hidden="1" customWidth="1"/>
    <col min="13" max="13" width="12.85546875" hidden="1" customWidth="1"/>
    <col min="14" max="14" width="11.85546875" hidden="1" customWidth="1"/>
  </cols>
  <sheetData>
    <row r="1" spans="1:33" ht="21" x14ac:dyDescent="0.35">
      <c r="A1" s="63" t="s">
        <v>63</v>
      </c>
      <c r="B1" s="63"/>
      <c r="C1" s="63"/>
      <c r="D1" s="63"/>
      <c r="E1" s="63"/>
    </row>
    <row r="2" spans="1:33" ht="15.75" x14ac:dyDescent="0.25">
      <c r="A2" s="64" t="s">
        <v>81</v>
      </c>
      <c r="B2" s="64"/>
      <c r="C2" s="64"/>
      <c r="D2" s="64"/>
      <c r="E2" s="64"/>
      <c r="AG2" t="s">
        <v>36</v>
      </c>
    </row>
    <row r="3" spans="1:33" ht="14.25" customHeight="1" x14ac:dyDescent="0.25">
      <c r="A3" s="23"/>
      <c r="B3" s="23"/>
      <c r="C3" s="23"/>
      <c r="D3" s="23"/>
      <c r="E3" s="23"/>
      <c r="AG3" t="s">
        <v>37</v>
      </c>
    </row>
    <row r="4" spans="1:33" ht="62.25" customHeight="1" x14ac:dyDescent="0.25">
      <c r="A4" s="59" t="s">
        <v>78</v>
      </c>
      <c r="B4" s="59"/>
      <c r="C4" s="59"/>
      <c r="D4" s="59"/>
      <c r="E4" s="59"/>
    </row>
    <row r="5" spans="1:33" ht="12.75" customHeight="1" x14ac:dyDescent="0.25">
      <c r="A5" s="24"/>
      <c r="B5" s="24"/>
      <c r="C5" s="24"/>
      <c r="D5" s="24"/>
      <c r="E5" s="24"/>
    </row>
    <row r="6" spans="1:33" ht="30" customHeight="1" x14ac:dyDescent="0.25">
      <c r="A6" s="60" t="s">
        <v>75</v>
      </c>
      <c r="B6" s="61"/>
      <c r="C6" s="61"/>
      <c r="D6" s="61"/>
      <c r="E6" s="61"/>
    </row>
    <row r="7" spans="1:33" ht="13.5" customHeight="1" x14ac:dyDescent="0.25">
      <c r="A7" s="25"/>
      <c r="B7" s="25"/>
      <c r="C7" s="25"/>
      <c r="D7" s="25"/>
      <c r="E7" s="25"/>
    </row>
    <row r="8" spans="1:33" ht="31.5" customHeight="1" x14ac:dyDescent="0.25">
      <c r="A8" s="62" t="str">
        <f>"The model automatically provides a fifteen percent (15%) allowance above the predicted cost. The absolute cost maximum is "&amp;TEXT(H40,"$#,##0")&amp;"/unit for New Construction and Adaptive Reuse, or "&amp;TEXT(H41,"$#,##0")&amp;" for Acquisition/Rehab)"</f>
        <v>The model automatically provides a fifteen percent (15%) allowance above the predicted cost. The absolute cost maximum is $299,590/unit for New Construction and Adaptive Reuse, or $250,093 for Acquisition/Rehab)</v>
      </c>
      <c r="B8" s="62"/>
      <c r="C8" s="62"/>
      <c r="D8" s="62"/>
      <c r="E8" s="62"/>
    </row>
    <row r="9" spans="1:33" ht="12.75" customHeight="1" x14ac:dyDescent="0.25">
      <c r="A9" s="48"/>
      <c r="B9" s="48"/>
      <c r="C9" s="48"/>
      <c r="D9" s="48"/>
      <c r="E9" s="48"/>
    </row>
    <row r="10" spans="1:33" ht="30" customHeight="1" x14ac:dyDescent="0.25">
      <c r="A10" s="59" t="str">
        <f>"Note: Supportive Housing and projects addressing the rehabilitation of foreclosed and/or abandoned SF homes/duplexes automatically receive an additional 10% allowance above the predicted cost.  The absolute cost maximum is " &amp; TEXT((H40*1.1),"$#,##0") &amp; "/unit for New Construction &amp; Adaptive Reuse and " &amp; TEXT((H41*1.1),"$#,##0") &amp; " for Acquisition/Rehab."</f>
        <v>Note: Supportive Housing and projects addressing the rehabilitation of foreclosed and/or abandoned SF homes/duplexes automatically receive an additional 10% allowance above the predicted cost.  The absolute cost maximum is $329,549/unit for New Construction &amp; Adaptive Reuse and $275,102 for Acquisition/Rehab.</v>
      </c>
      <c r="B10" s="59"/>
      <c r="C10" s="59"/>
      <c r="D10" s="59"/>
      <c r="E10" s="59"/>
    </row>
    <row r="11" spans="1:33" ht="24" customHeight="1" x14ac:dyDescent="0.25">
      <c r="A11" s="1"/>
    </row>
    <row r="12" spans="1:33" x14ac:dyDescent="0.25">
      <c r="A12" s="5" t="s">
        <v>76</v>
      </c>
    </row>
    <row r="13" spans="1:33" x14ac:dyDescent="0.25">
      <c r="A13" s="5" t="s">
        <v>50</v>
      </c>
    </row>
    <row r="15" spans="1:33" x14ac:dyDescent="0.25">
      <c r="A15" s="5"/>
    </row>
    <row r="16" spans="1:33" x14ac:dyDescent="0.25">
      <c r="A16" t="s">
        <v>49</v>
      </c>
      <c r="B16" s="57"/>
      <c r="C16" s="57"/>
      <c r="D16" s="57"/>
    </row>
    <row r="17" spans="1:14" x14ac:dyDescent="0.25">
      <c r="A17" t="s">
        <v>51</v>
      </c>
      <c r="B17" s="58"/>
      <c r="C17" s="58"/>
      <c r="D17" s="58"/>
    </row>
    <row r="18" spans="1:14" x14ac:dyDescent="0.25">
      <c r="A18" t="s">
        <v>64</v>
      </c>
      <c r="B18" s="27"/>
      <c r="D18" s="50">
        <v>0</v>
      </c>
    </row>
    <row r="19" spans="1:14" x14ac:dyDescent="0.25">
      <c r="A19" t="s">
        <v>67</v>
      </c>
      <c r="B19" s="27"/>
      <c r="D19" s="26">
        <v>0</v>
      </c>
    </row>
    <row r="20" spans="1:14" x14ac:dyDescent="0.25">
      <c r="A20" t="s">
        <v>68</v>
      </c>
      <c r="B20" s="27"/>
      <c r="D20" s="26">
        <v>0</v>
      </c>
    </row>
    <row r="21" spans="1:14" x14ac:dyDescent="0.25">
      <c r="A21" t="s">
        <v>77</v>
      </c>
      <c r="B21" s="27"/>
      <c r="D21" s="51">
        <v>0</v>
      </c>
    </row>
    <row r="22" spans="1:14" x14ac:dyDescent="0.25">
      <c r="A22" s="7"/>
      <c r="B22" s="8"/>
      <c r="C22" s="8"/>
      <c r="D22" s="8"/>
    </row>
    <row r="23" spans="1:14" x14ac:dyDescent="0.25">
      <c r="G23" s="28" t="s">
        <v>70</v>
      </c>
      <c r="H23" s="29" t="s">
        <v>65</v>
      </c>
      <c r="I23" s="19" t="s">
        <v>69</v>
      </c>
      <c r="J23" s="20" t="s">
        <v>66</v>
      </c>
    </row>
    <row r="24" spans="1:14" s="2" customFormat="1" ht="18" customHeight="1" x14ac:dyDescent="0.25">
      <c r="A24" s="9" t="s">
        <v>26</v>
      </c>
      <c r="B24" s="56" t="s">
        <v>45</v>
      </c>
      <c r="C24" s="56"/>
      <c r="D24" s="56"/>
      <c r="E24" s="12" t="s">
        <v>37</v>
      </c>
      <c r="G24" s="30">
        <f>IF(E24="yes",45579,0)</f>
        <v>0</v>
      </c>
      <c r="H24" s="31"/>
      <c r="I24" s="32"/>
      <c r="J24" s="33"/>
    </row>
    <row r="25" spans="1:14" s="2" customFormat="1" ht="18" customHeight="1" x14ac:dyDescent="0.25">
      <c r="A25" s="9" t="s">
        <v>27</v>
      </c>
      <c r="B25" s="56" t="s">
        <v>46</v>
      </c>
      <c r="C25" s="56"/>
      <c r="D25" s="56"/>
      <c r="E25" s="12" t="s">
        <v>37</v>
      </c>
      <c r="G25" s="30">
        <f>IF(E25="yes",45880,0)</f>
        <v>0</v>
      </c>
      <c r="H25" s="31"/>
      <c r="I25" s="32"/>
      <c r="J25" s="33"/>
    </row>
    <row r="26" spans="1:14" s="2" customFormat="1" ht="18" customHeight="1" x14ac:dyDescent="0.25">
      <c r="A26" s="9" t="s">
        <v>28</v>
      </c>
      <c r="B26" s="56" t="s">
        <v>48</v>
      </c>
      <c r="C26" s="56"/>
      <c r="D26" s="56"/>
      <c r="E26" s="12" t="s">
        <v>37</v>
      </c>
      <c r="G26" s="30">
        <f>IF(E26="yes",7995,0)</f>
        <v>0</v>
      </c>
      <c r="H26" s="31"/>
      <c r="I26" s="32"/>
      <c r="J26" s="33"/>
    </row>
    <row r="27" spans="1:14" s="2" customFormat="1" ht="18" customHeight="1" x14ac:dyDescent="0.25">
      <c r="A27" s="9" t="s">
        <v>29</v>
      </c>
      <c r="B27" s="56" t="s">
        <v>47</v>
      </c>
      <c r="C27" s="56"/>
      <c r="D27" s="56"/>
      <c r="E27" s="12" t="s">
        <v>37</v>
      </c>
      <c r="G27" s="30">
        <f>IF(E27="yes",39066,0)</f>
        <v>0</v>
      </c>
      <c r="H27" s="31"/>
      <c r="I27" s="32"/>
      <c r="J27" s="33"/>
    </row>
    <row r="28" spans="1:14" s="2" customFormat="1" ht="18" customHeight="1" x14ac:dyDescent="0.25">
      <c r="A28" s="9" t="s">
        <v>30</v>
      </c>
      <c r="B28" s="56" t="s">
        <v>79</v>
      </c>
      <c r="C28" s="56"/>
      <c r="D28" s="56"/>
      <c r="E28" s="12" t="s">
        <v>37</v>
      </c>
      <c r="G28" s="30">
        <f>IF(E28="yes",78012,0)</f>
        <v>0</v>
      </c>
      <c r="H28" s="31" t="e">
        <f>G28*(D19/E36)</f>
        <v>#DIV/0!</v>
      </c>
      <c r="I28" s="31"/>
      <c r="J28" s="33"/>
    </row>
    <row r="29" spans="1:14" s="2" customFormat="1" ht="18" customHeight="1" x14ac:dyDescent="0.25">
      <c r="A29" s="9" t="s">
        <v>31</v>
      </c>
      <c r="B29" s="56" t="s">
        <v>80</v>
      </c>
      <c r="C29" s="56"/>
      <c r="D29" s="56"/>
      <c r="E29" s="12" t="s">
        <v>37</v>
      </c>
      <c r="G29" s="30">
        <f>IF(E29="yes",78317,0)</f>
        <v>0</v>
      </c>
      <c r="H29" s="31"/>
      <c r="I29" s="31" t="e">
        <f>G29*(D20/E36)</f>
        <v>#DIV/0!</v>
      </c>
      <c r="J29" s="33"/>
      <c r="N29" s="10"/>
    </row>
    <row r="30" spans="1:14" s="2" customFormat="1" ht="18" customHeight="1" x14ac:dyDescent="0.25">
      <c r="A30" s="9" t="s">
        <v>32</v>
      </c>
      <c r="B30" s="56" t="s">
        <v>57</v>
      </c>
      <c r="C30" s="56"/>
      <c r="D30" s="56"/>
      <c r="E30" s="12" t="s">
        <v>37</v>
      </c>
      <c r="G30" s="30">
        <f>IF(E30="yes",25769,0)</f>
        <v>0</v>
      </c>
      <c r="H30" s="31"/>
      <c r="I30" s="31"/>
      <c r="J30" s="33" t="e">
        <f>G30*(D18/E36)</f>
        <v>#DIV/0!</v>
      </c>
    </row>
    <row r="31" spans="1:14" s="2" customFormat="1" ht="18" customHeight="1" x14ac:dyDescent="0.25">
      <c r="A31" s="9" t="s">
        <v>33</v>
      </c>
      <c r="B31" s="56" t="s">
        <v>56</v>
      </c>
      <c r="C31" s="56"/>
      <c r="D31" s="56"/>
      <c r="E31" s="12" t="s">
        <v>37</v>
      </c>
      <c r="G31" s="30">
        <f>IF(E31="yes",67297,0)</f>
        <v>0</v>
      </c>
      <c r="H31" s="31"/>
      <c r="I31" s="31"/>
      <c r="J31" s="33" t="e">
        <f>G31*(D18/E36)</f>
        <v>#DIV/0!</v>
      </c>
    </row>
    <row r="32" spans="1:14" s="2" customFormat="1" ht="18" customHeight="1" x14ac:dyDescent="0.25">
      <c r="A32" s="9" t="s">
        <v>34</v>
      </c>
      <c r="B32" s="56" t="s">
        <v>40</v>
      </c>
      <c r="C32" s="56"/>
      <c r="D32" s="56"/>
      <c r="E32" s="12" t="s">
        <v>37</v>
      </c>
      <c r="G32" s="30"/>
      <c r="H32" s="32"/>
      <c r="I32" s="32"/>
      <c r="J32" s="34"/>
    </row>
    <row r="33" spans="1:14" s="2" customFormat="1" ht="18" customHeight="1" x14ac:dyDescent="0.25">
      <c r="A33" s="9" t="s">
        <v>35</v>
      </c>
      <c r="B33" s="56" t="s">
        <v>41</v>
      </c>
      <c r="C33" s="56"/>
      <c r="D33" s="56"/>
      <c r="E33" s="12" t="s">
        <v>37</v>
      </c>
      <c r="G33" s="30"/>
      <c r="H33" s="32"/>
      <c r="I33" s="32"/>
      <c r="J33" s="34"/>
    </row>
    <row r="34" spans="1:14" s="2" customFormat="1" ht="18" customHeight="1" x14ac:dyDescent="0.25">
      <c r="A34" s="9" t="s">
        <v>42</v>
      </c>
      <c r="B34" s="56" t="s">
        <v>0</v>
      </c>
      <c r="C34" s="56"/>
      <c r="D34" s="56"/>
      <c r="E34" s="12" t="s">
        <v>37</v>
      </c>
      <c r="G34" s="30">
        <f>IF(E34="yes",32412,0)</f>
        <v>0</v>
      </c>
      <c r="H34" s="31"/>
      <c r="I34" s="32"/>
      <c r="J34" s="33"/>
    </row>
    <row r="35" spans="1:14" s="2" customFormat="1" ht="18" customHeight="1" x14ac:dyDescent="0.25">
      <c r="A35" s="9" t="s">
        <v>43</v>
      </c>
      <c r="B35" s="56" t="s">
        <v>55</v>
      </c>
      <c r="C35" s="56"/>
      <c r="D35" s="56"/>
      <c r="E35" s="13">
        <v>0</v>
      </c>
      <c r="G35" s="30"/>
      <c r="H35" s="32"/>
      <c r="I35" s="32"/>
      <c r="J35" s="34"/>
    </row>
    <row r="36" spans="1:14" s="2" customFormat="1" ht="18" customHeight="1" x14ac:dyDescent="0.25">
      <c r="A36" s="9" t="s">
        <v>52</v>
      </c>
      <c r="B36" s="56" t="s">
        <v>53</v>
      </c>
      <c r="C36" s="56"/>
      <c r="D36" s="56"/>
      <c r="E36" s="52">
        <f>D18+D19+D20</f>
        <v>0</v>
      </c>
      <c r="G36" s="35" t="e">
        <f>(E35/E36)*36.7</f>
        <v>#DIV/0!</v>
      </c>
      <c r="H36" s="36"/>
      <c r="I36" s="36"/>
      <c r="J36" s="37"/>
    </row>
    <row r="38" spans="1:14" ht="18" customHeight="1" x14ac:dyDescent="0.25">
      <c r="B38" s="2" t="s">
        <v>38</v>
      </c>
      <c r="C38" s="2"/>
      <c r="D38" s="2"/>
      <c r="E38" s="53" t="e">
        <f>(SUM(G24:G27,H28:J31,G34,G36)+34535+(4371*7))*1.04</f>
        <v>#DIV/0!</v>
      </c>
      <c r="M38" s="54" t="s">
        <v>72</v>
      </c>
      <c r="N38" s="55"/>
    </row>
    <row r="39" spans="1:14" ht="18" customHeight="1" x14ac:dyDescent="0.25">
      <c r="B39" s="2" t="s">
        <v>39</v>
      </c>
      <c r="C39" s="2"/>
      <c r="D39" s="2"/>
      <c r="E39" s="11" t="e">
        <f>E38*0.15</f>
        <v>#DIV/0!</v>
      </c>
      <c r="G39" s="18"/>
      <c r="H39" s="19" t="s">
        <v>58</v>
      </c>
      <c r="I39" s="19" t="s">
        <v>61</v>
      </c>
      <c r="J39" s="19" t="s">
        <v>71</v>
      </c>
      <c r="K39" s="20" t="s">
        <v>62</v>
      </c>
      <c r="L39" s="47" t="s">
        <v>73</v>
      </c>
      <c r="M39" s="39" t="s">
        <v>71</v>
      </c>
      <c r="N39" s="40" t="s">
        <v>62</v>
      </c>
    </row>
    <row r="40" spans="1:14" ht="18" customHeight="1" x14ac:dyDescent="0.25">
      <c r="B40" t="s">
        <v>74</v>
      </c>
      <c r="E40" s="38" t="e">
        <f>E38+E39</f>
        <v>#DIV/0!</v>
      </c>
      <c r="G40" s="14" t="s">
        <v>59</v>
      </c>
      <c r="H40" s="15">
        <f>(251327*1.03*1.07*1.04)*1.04</f>
        <v>299589.66561472003</v>
      </c>
      <c r="I40" s="15">
        <f>(131127*1.03*1.07*1.04)*1.04</f>
        <v>156307.49614272002</v>
      </c>
      <c r="J40" s="15" t="e">
        <f>E38+E39</f>
        <v>#DIV/0!</v>
      </c>
      <c r="K40" s="21" t="e">
        <f>IF(J40&gt;H40,H40,IF(J40&lt;I40,I40,J40))</f>
        <v>#DIV/0!</v>
      </c>
      <c r="L40" s="41" t="e">
        <f>(D19+D20)/E36</f>
        <v>#DIV/0!</v>
      </c>
      <c r="M40" s="43" t="e">
        <f>J40*L40</f>
        <v>#DIV/0!</v>
      </c>
      <c r="N40" s="44" t="e">
        <f>K40*L40</f>
        <v>#DIV/0!</v>
      </c>
    </row>
    <row r="41" spans="1:14" x14ac:dyDescent="0.25">
      <c r="G41" s="16" t="s">
        <v>60</v>
      </c>
      <c r="H41" s="17">
        <f>(209804*1.03*1.07*1.04)*1.04</f>
        <v>250092.94745344002</v>
      </c>
      <c r="I41" s="17">
        <f>(74305*1.03*1.07*1.04)*1.04</f>
        <v>88573.890204800016</v>
      </c>
      <c r="J41" s="17" t="e">
        <f>E38+E39</f>
        <v>#DIV/0!</v>
      </c>
      <c r="K41" s="22" t="e">
        <f>IF(J41&gt;H41,H41,IF(J41&lt;I41,I41,J41))</f>
        <v>#DIV/0!</v>
      </c>
      <c r="L41" s="42" t="e">
        <f>1-L40</f>
        <v>#DIV/0!</v>
      </c>
      <c r="M41" s="45" t="e">
        <f>J41*L41</f>
        <v>#DIV/0!</v>
      </c>
      <c r="N41" s="46" t="e">
        <f>K41*L41</f>
        <v>#DIV/0!</v>
      </c>
    </row>
    <row r="42" spans="1:14" ht="18" customHeight="1" x14ac:dyDescent="0.25">
      <c r="B42" s="49" t="str">
        <f>"Adjusted Cost Limit (not to exceed "&amp; TEXT(H40,"$#,##0") &amp; " per-unit for New Construction and Adaptive Reuse, or " &amp; TEXT(H41,"$#,##0") &amp; " for Acquisition/Rehab)"</f>
        <v>Adjusted Cost Limit (not to exceed $299,590 per-unit for New Construction and Adaptive Reuse, or $250,093 for Acquisition/Rehab)</v>
      </c>
      <c r="C42" s="2"/>
      <c r="D42" s="2"/>
      <c r="E42" s="10" t="e">
        <f>N42</f>
        <v>#DIV/0!</v>
      </c>
      <c r="J42" s="38"/>
      <c r="M42" s="38" t="e">
        <f>M40+M41</f>
        <v>#DIV/0!</v>
      </c>
      <c r="N42" s="38" t="e">
        <f>N40+N41</f>
        <v>#DIV/0!</v>
      </c>
    </row>
    <row r="43" spans="1:14" x14ac:dyDescent="0.25">
      <c r="B43" s="2"/>
      <c r="C43" s="2"/>
      <c r="D43" s="2"/>
      <c r="E43" s="10"/>
      <c r="H43" s="38"/>
      <c r="I43" s="38"/>
      <c r="K43" s="38"/>
    </row>
    <row r="44" spans="1:14" s="2" customFormat="1" ht="24" customHeight="1" x14ac:dyDescent="0.25">
      <c r="B44" s="2" t="s">
        <v>54</v>
      </c>
      <c r="E44" s="10">
        <f>IF(OR(E32="Yes",E33="Yes"),E42*0.1,0)</f>
        <v>0</v>
      </c>
      <c r="H44" s="38"/>
      <c r="I44" s="38"/>
      <c r="K44" s="10"/>
    </row>
    <row r="46" spans="1:14" x14ac:dyDescent="0.25">
      <c r="B46" s="3" t="s">
        <v>44</v>
      </c>
      <c r="C46" s="6"/>
      <c r="D46" s="6"/>
      <c r="E46" s="4" t="e">
        <f>E42+E44</f>
        <v>#DIV/0!</v>
      </c>
    </row>
  </sheetData>
  <sheetProtection algorithmName="SHA-512" hashValue="s7mb3I3HOmc45tXcSnftnw7Rk87S7FZ1PXBlbfaTVtkd4Z1DfXFIcy/eKJTYIj5clUQ34N6gokgjZ7bJ3JsKJQ==" saltValue="PX53Y1oaFBZhLaUxirn8ug==" spinCount="100000" sheet="1" objects="1" scenarios="1"/>
  <dataConsolidate/>
  <mergeCells count="22">
    <mergeCell ref="A4:E4"/>
    <mergeCell ref="A6:E6"/>
    <mergeCell ref="A8:E8"/>
    <mergeCell ref="A10:E10"/>
    <mergeCell ref="A1:E1"/>
    <mergeCell ref="A2:E2"/>
    <mergeCell ref="B27:D27"/>
    <mergeCell ref="B24:D24"/>
    <mergeCell ref="B25:D25"/>
    <mergeCell ref="B26:D26"/>
    <mergeCell ref="B16:D16"/>
    <mergeCell ref="B17:D17"/>
    <mergeCell ref="M38:N38"/>
    <mergeCell ref="B34:D34"/>
    <mergeCell ref="B36:D36"/>
    <mergeCell ref="B35:D35"/>
    <mergeCell ref="B28:D28"/>
    <mergeCell ref="B29:D29"/>
    <mergeCell ref="B30:D30"/>
    <mergeCell ref="B31:D31"/>
    <mergeCell ref="B32:D32"/>
    <mergeCell ref="B33:D33"/>
  </mergeCells>
  <dataValidations count="1">
    <dataValidation type="list" allowBlank="1" showInputMessage="1" showErrorMessage="1" sqref="E24:E34" xr:uid="{00000000-0002-0000-0000-000000000000}">
      <formula1>$AG$2:$AG$3</formula1>
    </dataValidation>
  </dataValidations>
  <pageMargins left="0.7" right="0.7" top="0.75" bottom="0.75" header="0.3" footer="0.3"/>
  <pageSetup scale="61" orientation="landscape" r:id="rId1"/>
  <headerFooter>
    <oddFooter xml:space="preserve">&amp;L&amp;10Revised: 9/19/2013&amp;11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15"/>
  <sheetViews>
    <sheetView workbookViewId="0">
      <selection activeCell="A2" sqref="A2"/>
    </sheetView>
  </sheetViews>
  <sheetFormatPr defaultRowHeight="15" x14ac:dyDescent="0.25"/>
  <cols>
    <col min="1" max="1" width="17.7109375" customWidth="1"/>
    <col min="2" max="2" width="4" customWidth="1"/>
    <col min="3" max="3" width="17.7109375" customWidth="1"/>
  </cols>
  <sheetData>
    <row r="1" spans="1:3" x14ac:dyDescent="0.25">
      <c r="A1" s="1" t="s">
        <v>82</v>
      </c>
    </row>
    <row r="3" spans="1:3" x14ac:dyDescent="0.25">
      <c r="A3" t="s">
        <v>9</v>
      </c>
      <c r="C3" t="s">
        <v>23</v>
      </c>
    </row>
    <row r="4" spans="1:3" x14ac:dyDescent="0.25">
      <c r="A4" t="s">
        <v>12</v>
      </c>
      <c r="C4" t="s">
        <v>11</v>
      </c>
    </row>
    <row r="5" spans="1:3" x14ac:dyDescent="0.25">
      <c r="A5" t="s">
        <v>5</v>
      </c>
      <c r="C5" t="s">
        <v>22</v>
      </c>
    </row>
    <row r="6" spans="1:3" x14ac:dyDescent="0.25">
      <c r="A6" t="s">
        <v>18</v>
      </c>
      <c r="C6" t="s">
        <v>2</v>
      </c>
    </row>
    <row r="7" spans="1:3" x14ac:dyDescent="0.25">
      <c r="A7" t="s">
        <v>17</v>
      </c>
      <c r="C7" t="s">
        <v>25</v>
      </c>
    </row>
    <row r="8" spans="1:3" x14ac:dyDescent="0.25">
      <c r="A8" t="s">
        <v>1</v>
      </c>
      <c r="C8" t="s">
        <v>19</v>
      </c>
    </row>
    <row r="9" spans="1:3" x14ac:dyDescent="0.25">
      <c r="A9" t="s">
        <v>4</v>
      </c>
      <c r="C9" t="s">
        <v>8</v>
      </c>
    </row>
    <row r="10" spans="1:3" x14ac:dyDescent="0.25">
      <c r="A10" t="s">
        <v>14</v>
      </c>
      <c r="C10" t="s">
        <v>15</v>
      </c>
    </row>
    <row r="11" spans="1:3" x14ac:dyDescent="0.25">
      <c r="A11" t="s">
        <v>16</v>
      </c>
      <c r="C11" t="s">
        <v>3</v>
      </c>
    </row>
    <row r="12" spans="1:3" x14ac:dyDescent="0.25">
      <c r="A12" t="s">
        <v>24</v>
      </c>
      <c r="C12" t="s">
        <v>20</v>
      </c>
    </row>
    <row r="13" spans="1:3" x14ac:dyDescent="0.25">
      <c r="A13" t="s">
        <v>10</v>
      </c>
      <c r="C13" t="s">
        <v>21</v>
      </c>
    </row>
    <row r="14" spans="1:3" x14ac:dyDescent="0.25">
      <c r="A14" t="s">
        <v>7</v>
      </c>
      <c r="C14" t="s">
        <v>13</v>
      </c>
    </row>
    <row r="15" spans="1:3" x14ac:dyDescent="0.25">
      <c r="A15" t="s">
        <v>6</v>
      </c>
    </row>
  </sheetData>
  <sheetProtection algorithmName="SHA-512" hashValue="amBhzaAxp/QYwGZTVs+kqhzVxeIzg4jM4SY2LQQXBzO72UkACIYehfFSopEwMvh67GpEAszaCOgLDI6/hspMGA==" saltValue="WIHKs5lzWKBqii36sECN2Q==" spinCount="100000" sheet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Model</vt:lpstr>
      <vt:lpstr>Metro Counties</vt:lpstr>
      <vt:lpstr>'Cost Model'!Print_Area</vt:lpstr>
    </vt:vector>
  </TitlesOfParts>
  <Company>WHEDA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Ginger</dc:creator>
  <cp:lastModifiedBy>Matt Childress</cp:lastModifiedBy>
  <cp:lastPrinted>2018-09-27T19:34:42Z</cp:lastPrinted>
  <dcterms:created xsi:type="dcterms:W3CDTF">2012-09-11T14:01:19Z</dcterms:created>
  <dcterms:modified xsi:type="dcterms:W3CDTF">2019-10-10T15:41:22Z</dcterms:modified>
</cp:coreProperties>
</file>