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Cost Model" sheetId="1" r:id="rId1"/>
    <sheet name="Metro Counties" sheetId="2" r:id="rId2"/>
  </sheets>
  <definedNames>
    <definedName name="_xlnm.Print_Area" localSheetId="0">'Cost Model'!$A$2:$F$46</definedName>
  </definedNames>
  <calcPr fullCalcOnLoad="1"/>
</workbook>
</file>

<file path=xl/sharedStrings.xml><?xml version="1.0" encoding="utf-8"?>
<sst xmlns="http://schemas.openxmlformats.org/spreadsheetml/2006/main" count="96" uniqueCount="83">
  <si>
    <t>Does this development primarily contain single-family homes and duplexes?</t>
  </si>
  <si>
    <t>Douglas</t>
  </si>
  <si>
    <t>Pierce</t>
  </si>
  <si>
    <t>St. Croix</t>
  </si>
  <si>
    <t>Eau Claire</t>
  </si>
  <si>
    <t>Chippewa</t>
  </si>
  <si>
    <t>Marathon</t>
  </si>
  <si>
    <t>La Crosse</t>
  </si>
  <si>
    <t>Shawano</t>
  </si>
  <si>
    <t>Brown</t>
  </si>
  <si>
    <t>Kewaunee</t>
  </si>
  <si>
    <t>Outagamie</t>
  </si>
  <si>
    <t>Calumet</t>
  </si>
  <si>
    <t>Winnebago</t>
  </si>
  <si>
    <t>Fond du Lac</t>
  </si>
  <si>
    <t>Sheboygan</t>
  </si>
  <si>
    <t>Iowa</t>
  </si>
  <si>
    <t>Dane</t>
  </si>
  <si>
    <t>Columbia</t>
  </si>
  <si>
    <t>Rock</t>
  </si>
  <si>
    <t>Washington</t>
  </si>
  <si>
    <t>Waukesha</t>
  </si>
  <si>
    <t>Ozaukee</t>
  </si>
  <si>
    <t>Milwaukee</t>
  </si>
  <si>
    <t>Kenosha</t>
  </si>
  <si>
    <t>Racine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</si>
  <si>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</si>
  <si>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</si>
  <si>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</si>
  <si>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</si>
  <si>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</si>
  <si>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</si>
  <si>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</si>
  <si>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</si>
  <si>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</si>
  <si>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</si>
  <si>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Yes</t>
  </si>
  <si>
    <t>No</t>
  </si>
  <si>
    <t>Calculated Cost Limit</t>
  </si>
  <si>
    <t>15% Allowance</t>
  </si>
  <si>
    <t>Does this development primarily contain supportive housing units?</t>
  </si>
  <si>
    <t>Does this development primarily address the rehabilitation of foreclosed or abandoned single family homes or duplexes?</t>
  </si>
  <si>
    <t>K</t>
  </si>
  <si>
    <t>L</t>
  </si>
  <si>
    <t>Maximum Per-Unit Cost for this Development</t>
  </si>
  <si>
    <t>Is the development located in the City of Milwaukee?</t>
  </si>
  <si>
    <t>Is the development located in the City of Madison?</t>
  </si>
  <si>
    <t>Is the development located on Wisconsin Tribal Lands?</t>
  </si>
  <si>
    <t>Is the development located in one of the metropolitan counties listed on the Metro Counties page (excluding Milwaukee and Madison)?</t>
  </si>
  <si>
    <t>Name:</t>
  </si>
  <si>
    <t>Submit a printed copy of this document with your LIHTC application</t>
  </si>
  <si>
    <t>Application #:</t>
  </si>
  <si>
    <t>M</t>
  </si>
  <si>
    <t>Total number of units in this development</t>
  </si>
  <si>
    <t>Allowance for supportive housing developments and those addressing foreclosed/abandoned homes</t>
  </si>
  <si>
    <t>Gross square feet in this development</t>
  </si>
  <si>
    <t>Is this a new construction development?</t>
  </si>
  <si>
    <t>Is this an adaptive reuse development?</t>
  </si>
  <si>
    <t>Is this a rehabilitation development with per per-unit rehabilitation costs in excess of $50,000?</t>
  </si>
  <si>
    <t>Is this a rehabilitation development with per per-unit rehabilitation costs between $25,000 and $50,000?</t>
  </si>
  <si>
    <t>Max Cost</t>
  </si>
  <si>
    <t>NC - Ad Reuse</t>
  </si>
  <si>
    <t>Acq Rehab</t>
  </si>
  <si>
    <t>Min Cost</t>
  </si>
  <si>
    <t>Limit</t>
  </si>
  <si>
    <t>Appendix F</t>
  </si>
  <si>
    <t xml:space="preserve">WHEDA limits total development cost for any one development for both LIHTC and lending.   This is a threshold item and applications exceeding the allowed maximum will be rejected.  Public housing authorities are exempt if they are the primary applicant and HOPE VI is a source of funds. Tribal housing authorities are exempt if they are the primary applicant and NAHASDA or similar funding is a source of funds. </t>
  </si>
  <si>
    <t xml:space="preserve">A development is limited to the Maximum Per-Unit Cost calculated below.  </t>
  </si>
  <si>
    <t>Number of Acquisition-Rehab Units:</t>
  </si>
  <si>
    <t>NC</t>
  </si>
  <si>
    <t>A/R</t>
  </si>
  <si>
    <t>Number of New Construction Units:</t>
  </si>
  <si>
    <t>Number of Adaptive Reuse Units:</t>
  </si>
  <si>
    <t>Ad Reuse</t>
  </si>
  <si>
    <t>Calcualtions</t>
  </si>
  <si>
    <t>Calc Amt</t>
  </si>
  <si>
    <t>Weighted</t>
  </si>
  <si>
    <t>% Units</t>
  </si>
  <si>
    <t>Insert development name, application number &amp; unit mix immediately below, and complete the cells highlighed in yellow in column E</t>
  </si>
  <si>
    <t xml:space="preserve">The model is based on historical data from Wisconsin’s LIHTC program and uses regression modeling with combinations of variables listed below to predict costs.  </t>
  </si>
  <si>
    <t>Subtotal</t>
  </si>
  <si>
    <t>WHEDA Multifamily Maximum Cost Model: 2015</t>
  </si>
  <si>
    <t>Wisconsin Metropolitan Counties: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</si>
</sst>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10" xfId="0" applyFont="1" applyBorder="1" applyAlignment="1">
      <alignment vertical="center"/>
    </xf>
    <xf numFmtId="6" fontId="36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6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13" xfId="0" applyNumberFormat="1" applyBorder="1" applyAlignment="1">
      <alignment vertical="center"/>
    </xf>
    <xf numFmtId="0" fontId="0" fillId="32" borderId="14" xfId="0" applyFill="1" applyBorder="1" applyAlignment="1" applyProtection="1">
      <alignment horizontal="right" vertical="center"/>
      <protection locked="0"/>
    </xf>
    <xf numFmtId="38" fontId="0" fillId="32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6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6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6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5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6" fontId="0" fillId="0" borderId="15" xfId="0" applyNumberFormat="1" applyBorder="1" applyAlignment="1">
      <alignment/>
    </xf>
    <xf numFmtId="6" fontId="0" fillId="0" borderId="17" xfId="0" applyNumberFormat="1" applyBorder="1" applyAlignment="1">
      <alignment/>
    </xf>
    <xf numFmtId="6" fontId="0" fillId="0" borderId="16" xfId="0" applyNumberFormat="1" applyBorder="1" applyAlignment="1">
      <alignment/>
    </xf>
    <xf numFmtId="6" fontId="0" fillId="0" borderId="18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47"/>
  <sheetViews>
    <sheetView tabSelected="1" zoomScalePageLayoutView="0" workbookViewId="0" topLeftCell="A1">
      <selection activeCell="B18" sqref="B18:C18"/>
    </sheetView>
  </sheetViews>
  <sheetFormatPr defaultColWidth="9.140625" defaultRowHeight="15"/>
  <cols>
    <col min="1" max="1" width="15.140625" style="0" customWidth="1"/>
    <col min="2" max="3" width="41.7109375" style="0" customWidth="1"/>
    <col min="4" max="4" width="50.28125" style="0" customWidth="1"/>
    <col min="5" max="5" width="15.8515625" style="0" customWidth="1"/>
    <col min="7" max="7" width="13.7109375" style="0" hidden="1" customWidth="1"/>
    <col min="8" max="11" width="9.28125" style="0" hidden="1" customWidth="1"/>
    <col min="12" max="12" width="9.140625" style="0" hidden="1" customWidth="1"/>
    <col min="13" max="13" width="12.8515625" style="0" hidden="1" customWidth="1"/>
    <col min="14" max="14" width="11.8515625" style="0" hidden="1" customWidth="1"/>
  </cols>
  <sheetData>
    <row r="1" spans="1:5" ht="21">
      <c r="A1" s="60" t="s">
        <v>65</v>
      </c>
      <c r="B1" s="60"/>
      <c r="C1" s="60"/>
      <c r="D1" s="60"/>
      <c r="E1" s="60"/>
    </row>
    <row r="2" spans="1:33" ht="15.75">
      <c r="A2" s="61" t="s">
        <v>81</v>
      </c>
      <c r="B2" s="61"/>
      <c r="C2" s="61"/>
      <c r="D2" s="61"/>
      <c r="E2" s="61"/>
      <c r="AG2" t="s">
        <v>36</v>
      </c>
    </row>
    <row r="3" spans="1:33" ht="14.25" customHeight="1">
      <c r="A3" s="23"/>
      <c r="B3" s="23"/>
      <c r="C3" s="23"/>
      <c r="D3" s="23"/>
      <c r="E3" s="23"/>
      <c r="AG3" t="s">
        <v>37</v>
      </c>
    </row>
    <row r="4" spans="1:5" ht="47.25" customHeight="1">
      <c r="A4" s="56" t="s">
        <v>66</v>
      </c>
      <c r="B4" s="56"/>
      <c r="C4" s="56"/>
      <c r="D4" s="56"/>
      <c r="E4" s="56"/>
    </row>
    <row r="5" spans="1:5" ht="12.75" customHeight="1">
      <c r="A5" s="24"/>
      <c r="B5" s="24"/>
      <c r="C5" s="24"/>
      <c r="D5" s="24"/>
      <c r="E5" s="24"/>
    </row>
    <row r="6" spans="1:5" ht="15">
      <c r="A6" s="57" t="s">
        <v>79</v>
      </c>
      <c r="B6" s="58"/>
      <c r="C6" s="58"/>
      <c r="D6" s="58"/>
      <c r="E6" s="58"/>
    </row>
    <row r="7" spans="1:5" ht="13.5" customHeight="1">
      <c r="A7" s="25"/>
      <c r="B7" s="25"/>
      <c r="C7" s="25"/>
      <c r="D7" s="25"/>
      <c r="E7" s="25"/>
    </row>
    <row r="8" spans="1:5" ht="15">
      <c r="A8" s="25" t="s">
        <v>67</v>
      </c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31.5" customHeight="1">
      <c r="A10" s="59" t="str">
        <f>"The model automatically provides a fifteen percent (15%) allowance above the predicted cost. The absolute cost maximum is "&amp;TEXT(H41,"$#,##0")&amp;"/unit for New Construction and Adaptive Reuse, or "&amp;TEXT(H42,"$#,##0")&amp;" for Acquisition/Rehab)"</f>
        <v>The model automatically provides a fifteen percent (15%) allowance above the predicted cost. The absolute cost maximum is $244,007/unit for New Construction and Adaptive Reuse, or $203,693 for Acquisition/Rehab)</v>
      </c>
      <c r="B10" s="59"/>
      <c r="C10" s="59"/>
      <c r="D10" s="59"/>
      <c r="E10" s="59"/>
    </row>
    <row r="11" spans="1:5" ht="12.75" customHeight="1">
      <c r="A11" s="49"/>
      <c r="B11" s="49"/>
      <c r="C11" s="49"/>
      <c r="D11" s="49"/>
      <c r="E11" s="49"/>
    </row>
    <row r="12" spans="1:5" ht="30" customHeight="1">
      <c r="A12" s="56" t="str">
        <f>"Note: Supportive Housing and projects addressing the rehabilitation of foreclosed and/or abandoned SF homes/duplexes automatically receive an additional 10% allowance above the predicted cost.  The absolute cost maximum is "&amp;TEXT((H41*1.1),"$#,##0")&amp;"/unit for New Construction &amp; Adaptive Reuse and "&amp;TEXT((H42*1.1),"$#,##0")&amp;" for Acquisition/Rehab."</f>
        <v>Note: Supportive Housing and projects addressing the rehabilitation of foreclosed and/or abandoned SF homes/duplexes automatically receive an additional 10% allowance above the predicted cost.  The absolute cost maximum is $268,408/unit for New Construction &amp; Adaptive Reuse and $224,062 for Acquisition/Rehab.</v>
      </c>
      <c r="B12" s="56"/>
      <c r="C12" s="56"/>
      <c r="D12" s="56"/>
      <c r="E12" s="56"/>
    </row>
    <row r="13" ht="24" customHeight="1">
      <c r="A13" s="1"/>
    </row>
    <row r="14" ht="15">
      <c r="A14" s="5" t="s">
        <v>78</v>
      </c>
    </row>
    <row r="15" ht="15">
      <c r="A15" s="5" t="s">
        <v>50</v>
      </c>
    </row>
    <row r="17" ht="15">
      <c r="A17" s="5"/>
    </row>
    <row r="18" spans="1:3" ht="15">
      <c r="A18" t="s">
        <v>49</v>
      </c>
      <c r="B18" s="54"/>
      <c r="C18" s="54"/>
    </row>
    <row r="19" spans="1:4" ht="15">
      <c r="A19" t="s">
        <v>51</v>
      </c>
      <c r="B19" s="55"/>
      <c r="C19" s="55"/>
      <c r="D19" s="8"/>
    </row>
    <row r="20" spans="1:4" ht="15">
      <c r="A20" t="s">
        <v>68</v>
      </c>
      <c r="B20" s="28"/>
      <c r="C20" s="27">
        <v>0</v>
      </c>
      <c r="D20" s="8"/>
    </row>
    <row r="21" spans="1:4" ht="15">
      <c r="A21" t="s">
        <v>71</v>
      </c>
      <c r="B21" s="28"/>
      <c r="C21" s="26">
        <v>0</v>
      </c>
      <c r="D21" s="8"/>
    </row>
    <row r="22" spans="1:4" ht="15">
      <c r="A22" t="s">
        <v>72</v>
      </c>
      <c r="B22" s="28"/>
      <c r="C22" s="26">
        <v>0</v>
      </c>
      <c r="D22" s="8"/>
    </row>
    <row r="23" spans="1:4" ht="15">
      <c r="A23" s="7"/>
      <c r="B23" s="8"/>
      <c r="C23" s="8"/>
      <c r="D23" s="8"/>
    </row>
    <row r="24" spans="7:10" ht="15">
      <c r="G24" s="29" t="s">
        <v>74</v>
      </c>
      <c r="H24" s="30" t="s">
        <v>69</v>
      </c>
      <c r="I24" s="19" t="s">
        <v>73</v>
      </c>
      <c r="J24" s="20" t="s">
        <v>70</v>
      </c>
    </row>
    <row r="25" spans="1:10" s="2" customFormat="1" ht="18" customHeight="1">
      <c r="A25" s="9" t="s">
        <v>26</v>
      </c>
      <c r="B25" s="53" t="s">
        <v>45</v>
      </c>
      <c r="C25" s="53"/>
      <c r="D25" s="53"/>
      <c r="E25" s="12" t="s">
        <v>37</v>
      </c>
      <c r="G25" s="31">
        <f>IF(E25="yes",45579,0)</f>
        <v>0</v>
      </c>
      <c r="H25" s="32"/>
      <c r="I25" s="33"/>
      <c r="J25" s="34"/>
    </row>
    <row r="26" spans="1:10" s="2" customFormat="1" ht="18" customHeight="1">
      <c r="A26" s="9" t="s">
        <v>27</v>
      </c>
      <c r="B26" s="53" t="s">
        <v>46</v>
      </c>
      <c r="C26" s="53"/>
      <c r="D26" s="53"/>
      <c r="E26" s="12" t="s">
        <v>37</v>
      </c>
      <c r="G26" s="31">
        <f>IF(E26="yes",45880,0)</f>
        <v>0</v>
      </c>
      <c r="H26" s="32"/>
      <c r="I26" s="33"/>
      <c r="J26" s="34"/>
    </row>
    <row r="27" spans="1:10" s="2" customFormat="1" ht="18" customHeight="1">
      <c r="A27" s="9" t="s">
        <v>28</v>
      </c>
      <c r="B27" s="53" t="s">
        <v>48</v>
      </c>
      <c r="C27" s="53"/>
      <c r="D27" s="53"/>
      <c r="E27" s="12" t="s">
        <v>37</v>
      </c>
      <c r="G27" s="31">
        <f>IF(E27="yes",7995,0)</f>
        <v>0</v>
      </c>
      <c r="H27" s="32"/>
      <c r="I27" s="33"/>
      <c r="J27" s="34"/>
    </row>
    <row r="28" spans="1:10" s="2" customFormat="1" ht="18" customHeight="1">
      <c r="A28" s="9" t="s">
        <v>29</v>
      </c>
      <c r="B28" s="53" t="s">
        <v>47</v>
      </c>
      <c r="C28" s="53"/>
      <c r="D28" s="53"/>
      <c r="E28" s="12" t="s">
        <v>37</v>
      </c>
      <c r="G28" s="31">
        <f>IF(E28="yes",39066,0)</f>
        <v>0</v>
      </c>
      <c r="H28" s="32"/>
      <c r="I28" s="33"/>
      <c r="J28" s="34"/>
    </row>
    <row r="29" spans="1:10" s="2" customFormat="1" ht="18" customHeight="1">
      <c r="A29" s="9" t="s">
        <v>30</v>
      </c>
      <c r="B29" s="53" t="s">
        <v>56</v>
      </c>
      <c r="C29" s="53"/>
      <c r="D29" s="53"/>
      <c r="E29" s="12" t="s">
        <v>37</v>
      </c>
      <c r="G29" s="31">
        <f>IF(E29="yes",78012,0)</f>
        <v>0</v>
      </c>
      <c r="H29" s="32" t="e">
        <f>G29*(C21/E37)</f>
        <v>#DIV/0!</v>
      </c>
      <c r="I29" s="32"/>
      <c r="J29" s="34"/>
    </row>
    <row r="30" spans="1:14" s="2" customFormat="1" ht="18" customHeight="1">
      <c r="A30" s="9" t="s">
        <v>31</v>
      </c>
      <c r="B30" s="53" t="s">
        <v>57</v>
      </c>
      <c r="C30" s="53"/>
      <c r="D30" s="53"/>
      <c r="E30" s="12" t="s">
        <v>37</v>
      </c>
      <c r="G30" s="31">
        <f>IF(E30="yes",78317,0)</f>
        <v>0</v>
      </c>
      <c r="H30" s="32"/>
      <c r="I30" s="32" t="e">
        <f>G30*(C22/E37)</f>
        <v>#DIV/0!</v>
      </c>
      <c r="J30" s="34"/>
      <c r="N30" s="10"/>
    </row>
    <row r="31" spans="1:10" s="2" customFormat="1" ht="18" customHeight="1">
      <c r="A31" s="9" t="s">
        <v>32</v>
      </c>
      <c r="B31" s="53" t="s">
        <v>59</v>
      </c>
      <c r="C31" s="53"/>
      <c r="D31" s="53"/>
      <c r="E31" s="12" t="s">
        <v>37</v>
      </c>
      <c r="G31" s="31">
        <f>IF(E31="yes",25769,0)</f>
        <v>0</v>
      </c>
      <c r="H31" s="32"/>
      <c r="I31" s="32"/>
      <c r="J31" s="34" t="e">
        <f>G31*(C20/E37)</f>
        <v>#DIV/0!</v>
      </c>
    </row>
    <row r="32" spans="1:10" s="2" customFormat="1" ht="18" customHeight="1">
      <c r="A32" s="9" t="s">
        <v>33</v>
      </c>
      <c r="B32" s="53" t="s">
        <v>58</v>
      </c>
      <c r="C32" s="53"/>
      <c r="D32" s="53"/>
      <c r="E32" s="12" t="s">
        <v>37</v>
      </c>
      <c r="G32" s="31">
        <f>IF(E32="yes",67297,0)</f>
        <v>0</v>
      </c>
      <c r="H32" s="32"/>
      <c r="I32" s="32"/>
      <c r="J32" s="34" t="e">
        <f>G32*(C20/E37)</f>
        <v>#DIV/0!</v>
      </c>
    </row>
    <row r="33" spans="1:10" s="2" customFormat="1" ht="18" customHeight="1">
      <c r="A33" s="9" t="s">
        <v>34</v>
      </c>
      <c r="B33" s="53" t="s">
        <v>40</v>
      </c>
      <c r="C33" s="53"/>
      <c r="D33" s="53"/>
      <c r="E33" s="12" t="s">
        <v>37</v>
      </c>
      <c r="G33" s="31"/>
      <c r="H33" s="33"/>
      <c r="I33" s="33"/>
      <c r="J33" s="35"/>
    </row>
    <row r="34" spans="1:10" s="2" customFormat="1" ht="18" customHeight="1">
      <c r="A34" s="9" t="s">
        <v>35</v>
      </c>
      <c r="B34" s="53" t="s">
        <v>41</v>
      </c>
      <c r="C34" s="53"/>
      <c r="D34" s="53"/>
      <c r="E34" s="12" t="s">
        <v>37</v>
      </c>
      <c r="G34" s="31"/>
      <c r="H34" s="33"/>
      <c r="I34" s="33"/>
      <c r="J34" s="35"/>
    </row>
    <row r="35" spans="1:10" s="2" customFormat="1" ht="18" customHeight="1">
      <c r="A35" s="9" t="s">
        <v>42</v>
      </c>
      <c r="B35" s="53" t="s">
        <v>0</v>
      </c>
      <c r="C35" s="53"/>
      <c r="D35" s="53"/>
      <c r="E35" s="12" t="s">
        <v>37</v>
      </c>
      <c r="G35" s="31">
        <f>IF(E35="yes",32412,0)</f>
        <v>0</v>
      </c>
      <c r="H35" s="32"/>
      <c r="I35" s="33"/>
      <c r="J35" s="34"/>
    </row>
    <row r="36" spans="1:10" s="2" customFormat="1" ht="18" customHeight="1">
      <c r="A36" s="9" t="s">
        <v>43</v>
      </c>
      <c r="B36" s="53" t="s">
        <v>55</v>
      </c>
      <c r="C36" s="53"/>
      <c r="D36" s="53"/>
      <c r="E36" s="13">
        <v>0</v>
      </c>
      <c r="G36" s="31"/>
      <c r="H36" s="33"/>
      <c r="I36" s="33"/>
      <c r="J36" s="35"/>
    </row>
    <row r="37" spans="1:10" s="2" customFormat="1" ht="18" customHeight="1">
      <c r="A37" s="9" t="s">
        <v>52</v>
      </c>
      <c r="B37" s="53" t="s">
        <v>53</v>
      </c>
      <c r="C37" s="53"/>
      <c r="D37" s="53"/>
      <c r="E37" s="13">
        <f>C20+C21+C22</f>
        <v>0</v>
      </c>
      <c r="G37" s="36" t="e">
        <f>(E36/E37)*36.7</f>
        <v>#DIV/0!</v>
      </c>
      <c r="H37" s="37"/>
      <c r="I37" s="37"/>
      <c r="J37" s="38"/>
    </row>
    <row r="39" spans="2:14" ht="18" customHeight="1">
      <c r="B39" s="2" t="s">
        <v>38</v>
      </c>
      <c r="C39" s="2"/>
      <c r="D39" s="2"/>
      <c r="E39" s="10" t="e">
        <f>SUM(G25:G28,H29:J32,G35,G37)+34535+(4371*3)</f>
        <v>#DIV/0!</v>
      </c>
      <c r="M39" s="51" t="s">
        <v>76</v>
      </c>
      <c r="N39" s="52"/>
    </row>
    <row r="40" spans="2:14" ht="18" customHeight="1">
      <c r="B40" s="2" t="s">
        <v>39</v>
      </c>
      <c r="C40" s="2"/>
      <c r="D40" s="2"/>
      <c r="E40" s="11" t="e">
        <f>E39*0.15</f>
        <v>#DIV/0!</v>
      </c>
      <c r="G40" s="18"/>
      <c r="H40" s="19" t="s">
        <v>60</v>
      </c>
      <c r="I40" s="19" t="s">
        <v>63</v>
      </c>
      <c r="J40" s="19" t="s">
        <v>75</v>
      </c>
      <c r="K40" s="20" t="s">
        <v>64</v>
      </c>
      <c r="L40" s="48" t="s">
        <v>77</v>
      </c>
      <c r="M40" s="40" t="s">
        <v>75</v>
      </c>
      <c r="N40" s="41" t="s">
        <v>64</v>
      </c>
    </row>
    <row r="41" spans="2:14" ht="18" customHeight="1">
      <c r="B41" t="s">
        <v>80</v>
      </c>
      <c r="E41" s="39" t="e">
        <f>E39+E40</f>
        <v>#DIV/0!</v>
      </c>
      <c r="G41" s="14" t="s">
        <v>61</v>
      </c>
      <c r="H41" s="15">
        <f>(230000*1.03)*1.03</f>
        <v>244007</v>
      </c>
      <c r="I41" s="15">
        <f>(120000*1.03)*1.03</f>
        <v>127308</v>
      </c>
      <c r="J41" s="15" t="e">
        <f>E39+E40</f>
        <v>#DIV/0!</v>
      </c>
      <c r="K41" s="21" t="e">
        <f>IF(J41&gt;H41,H41,IF(J41&lt;I41,I41,J41))</f>
        <v>#DIV/0!</v>
      </c>
      <c r="L41" s="42" t="e">
        <f>(C21+C22)/E37</f>
        <v>#DIV/0!</v>
      </c>
      <c r="M41" s="44" t="e">
        <f>J41*L41</f>
        <v>#DIV/0!</v>
      </c>
      <c r="N41" s="45" t="e">
        <f>K41*L41</f>
        <v>#DIV/0!</v>
      </c>
    </row>
    <row r="42" spans="7:14" ht="15">
      <c r="G42" s="16" t="s">
        <v>62</v>
      </c>
      <c r="H42" s="17">
        <f>(192000*1.03)*1.03</f>
        <v>203692.80000000002</v>
      </c>
      <c r="I42" s="17">
        <f>(68000*1.03)*1.03</f>
        <v>72141.2</v>
      </c>
      <c r="J42" s="17" t="e">
        <f>E39+E40</f>
        <v>#DIV/0!</v>
      </c>
      <c r="K42" s="22" t="e">
        <f>IF(J42&gt;H42,H42,IF(J42&lt;I42,I42,J42))</f>
        <v>#DIV/0!</v>
      </c>
      <c r="L42" s="43" t="e">
        <f>1-L41</f>
        <v>#DIV/0!</v>
      </c>
      <c r="M42" s="46" t="e">
        <f>J42*L42</f>
        <v>#DIV/0!</v>
      </c>
      <c r="N42" s="47" t="e">
        <f>K42*L42</f>
        <v>#DIV/0!</v>
      </c>
    </row>
    <row r="43" spans="2:14" ht="18" customHeight="1">
      <c r="B43" s="50" t="str">
        <f>"Adjusted Cost Limit (not to exceed "&amp;TEXT(H41,"$#,##0")&amp;" per-unit for New Construction and Adaptive Reuse, or "&amp;TEXT(H42,"$#,##0")&amp;" for Acquisition/Rehab)"</f>
        <v>Adjusted Cost Limit (not to exceed $244,007 per-unit for New Construction and Adaptive Reuse, or $203,693 for Acquisition/Rehab)</v>
      </c>
      <c r="C43" s="2"/>
      <c r="D43" s="2"/>
      <c r="E43" s="10" t="e">
        <f>N43</f>
        <v>#DIV/0!</v>
      </c>
      <c r="J43" s="39"/>
      <c r="M43" s="39" t="e">
        <f>M41+M42</f>
        <v>#DIV/0!</v>
      </c>
      <c r="N43" s="39" t="e">
        <f>N41+N42</f>
        <v>#DIV/0!</v>
      </c>
    </row>
    <row r="44" spans="2:11" ht="15">
      <c r="B44" s="2"/>
      <c r="C44" s="2"/>
      <c r="D44" s="2"/>
      <c r="E44" s="10"/>
      <c r="K44" s="39"/>
    </row>
    <row r="45" spans="2:11" s="2" customFormat="1" ht="24" customHeight="1">
      <c r="B45" s="2" t="s">
        <v>54</v>
      </c>
      <c r="E45" s="10">
        <f>IF(OR(E33="Yes",E34="Yes"),E43*0.1,0)</f>
        <v>0</v>
      </c>
      <c r="K45" s="10"/>
    </row>
    <row r="47" spans="2:5" ht="15">
      <c r="B47" s="3" t="s">
        <v>44</v>
      </c>
      <c r="C47" s="6"/>
      <c r="D47" s="6"/>
      <c r="E47" s="4" t="e">
        <f>E43+E45</f>
        <v>#DIV/0!</v>
      </c>
    </row>
  </sheetData>
  <sheetProtection password="C092" sheet="1"/>
  <mergeCells count="22">
    <mergeCell ref="A4:E4"/>
    <mergeCell ref="A6:E6"/>
    <mergeCell ref="A10:E10"/>
    <mergeCell ref="A12:E12"/>
    <mergeCell ref="A1:E1"/>
    <mergeCell ref="A2:E2"/>
    <mergeCell ref="B28:D28"/>
    <mergeCell ref="B18:C18"/>
    <mergeCell ref="B19:C19"/>
    <mergeCell ref="B25:D25"/>
    <mergeCell ref="B26:D26"/>
    <mergeCell ref="B27:D27"/>
    <mergeCell ref="M39:N39"/>
    <mergeCell ref="B35:D35"/>
    <mergeCell ref="B37:D37"/>
    <mergeCell ref="B36:D36"/>
    <mergeCell ref="B29:D29"/>
    <mergeCell ref="B30:D30"/>
    <mergeCell ref="B31:D31"/>
    <mergeCell ref="B32:D32"/>
    <mergeCell ref="B33:D33"/>
    <mergeCell ref="B34:D34"/>
  </mergeCells>
  <dataValidations count="1">
    <dataValidation type="list" allowBlank="1" showInputMessage="1" showErrorMessage="1" sqref="E25:E35">
      <formula1>$AG$2:$AG$3</formula1>
    </dataValidation>
  </dataValidations>
  <printOptions/>
  <pageMargins left="0.7" right="0.7" top="0.75" bottom="0.75" header="0.3" footer="0.3"/>
  <pageSetup fitToHeight="1" fitToWidth="1" horizontalDpi="600" verticalDpi="600" orientation="landscape" scale="66" r:id="rId1"/>
  <headerFooter>
    <oddFooter>&amp;L&amp;10Revised: 9/19/2013&amp;11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7109375" style="0" customWidth="1"/>
    <col min="2" max="2" width="4.00390625" style="0" customWidth="1"/>
    <col min="3" max="3" width="17.7109375" style="0" customWidth="1"/>
  </cols>
  <sheetData>
    <row r="1" ht="15">
      <c r="A1" s="1" t="s">
        <v>82</v>
      </c>
    </row>
    <row r="3" spans="1:3" ht="15">
      <c r="A3" t="s">
        <v>9</v>
      </c>
      <c r="C3" t="s">
        <v>23</v>
      </c>
    </row>
    <row r="4" spans="1:3" ht="15">
      <c r="A4" t="s">
        <v>12</v>
      </c>
      <c r="C4" t="s">
        <v>11</v>
      </c>
    </row>
    <row r="5" spans="1:3" ht="15">
      <c r="A5" t="s">
        <v>5</v>
      </c>
      <c r="C5" t="s">
        <v>22</v>
      </c>
    </row>
    <row r="6" spans="1:3" ht="15">
      <c r="A6" t="s">
        <v>18</v>
      </c>
      <c r="C6" t="s">
        <v>2</v>
      </c>
    </row>
    <row r="7" spans="1:3" ht="15">
      <c r="A7" t="s">
        <v>17</v>
      </c>
      <c r="C7" t="s">
        <v>25</v>
      </c>
    </row>
    <row r="8" spans="1:3" ht="15">
      <c r="A8" t="s">
        <v>1</v>
      </c>
      <c r="C8" t="s">
        <v>19</v>
      </c>
    </row>
    <row r="9" spans="1:3" ht="15">
      <c r="A9" t="s">
        <v>4</v>
      </c>
      <c r="C9" t="s">
        <v>8</v>
      </c>
    </row>
    <row r="10" spans="1:3" ht="15">
      <c r="A10" t="s">
        <v>14</v>
      </c>
      <c r="C10" t="s">
        <v>15</v>
      </c>
    </row>
    <row r="11" spans="1:3" ht="15">
      <c r="A11" t="s">
        <v>16</v>
      </c>
      <c r="C11" t="s">
        <v>3</v>
      </c>
    </row>
    <row r="12" spans="1:3" ht="15">
      <c r="A12" t="s">
        <v>24</v>
      </c>
      <c r="C12" t="s">
        <v>20</v>
      </c>
    </row>
    <row r="13" spans="1:3" ht="15">
      <c r="A13" t="s">
        <v>10</v>
      </c>
      <c r="C13" t="s">
        <v>21</v>
      </c>
    </row>
    <row r="14" spans="1:3" ht="15">
      <c r="A14" t="s">
        <v>7</v>
      </c>
      <c r="C14" t="s">
        <v>13</v>
      </c>
    </row>
    <row r="15" ht="15">
      <c r="A15" t="s">
        <v>6</v>
      </c>
    </row>
  </sheetData>
  <sheetProtection password="C092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Ginger</dc:creator>
  <cp:keywords/>
  <dc:description/>
  <cp:lastModifiedBy>Matt Childress</cp:lastModifiedBy>
  <cp:lastPrinted>2013-09-24T13:23:40Z</cp:lastPrinted>
  <dcterms:created xsi:type="dcterms:W3CDTF">2012-09-11T14:01:19Z</dcterms:created>
  <dcterms:modified xsi:type="dcterms:W3CDTF">2014-10-22T17:03:45Z</dcterms:modified>
  <cp:category/>
  <cp:version/>
  <cp:contentType/>
  <cp:contentStatus/>
</cp:coreProperties>
</file>